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完成公示" sheetId="4" r:id="rId1"/>
    <sheet name="恭门镇" sheetId="2" r:id="rId2"/>
    <sheet name="马鹿镇" sheetId="3" r:id="rId3"/>
    <sheet name="胡川镇" sheetId="5" r:id="rId4"/>
    <sheet name="张川镇" sheetId="6" r:id="rId5"/>
    <sheet name="刘堡镇" sheetId="7" r:id="rId6"/>
    <sheet name="张棉乡" sheetId="8" r:id="rId7"/>
    <sheet name="川王镇" sheetId="9" r:id="rId8"/>
    <sheet name="大阳镇" sheetId="10" r:id="rId9"/>
    <sheet name="连五乡" sheetId="11" r:id="rId10"/>
    <sheet name="龙山镇" sheetId="12" r:id="rId11"/>
    <sheet name="梁山镇" sheetId="13" r:id="rId12"/>
    <sheet name="马关镇" sheetId="14" r:id="rId13"/>
    <sheet name="木河乡" sheetId="15" r:id="rId14"/>
  </sheets>
  <definedNames>
    <definedName name="_xlnm.Print_Titles" localSheetId="0">完成公示!$1:$3</definedName>
  </definedNames>
  <calcPr calcId="144525"/>
</workbook>
</file>

<file path=xl/sharedStrings.xml><?xml version="1.0" encoding="utf-8"?>
<sst xmlns="http://schemas.openxmlformats.org/spreadsheetml/2006/main" count="359" uniqueCount="75">
  <si>
    <t>张家川县2023年产业道路硬化项目建设完成情况统计表</t>
  </si>
  <si>
    <t>序号</t>
  </si>
  <si>
    <t>乡、镇</t>
  </si>
  <si>
    <t>项目名称</t>
  </si>
  <si>
    <t>建设规模</t>
  </si>
  <si>
    <t>总预算（万元）</t>
  </si>
  <si>
    <t>建安费（万元）</t>
  </si>
  <si>
    <t>承建单位</t>
  </si>
  <si>
    <t>合同价（万元）</t>
  </si>
  <si>
    <t>实际完成工程量（万元）</t>
  </si>
  <si>
    <t>建设里程    （公里）</t>
  </si>
  <si>
    <t>路基宽度（米）</t>
  </si>
  <si>
    <t>路面宽度（米）</t>
  </si>
  <si>
    <t>合计</t>
  </si>
  <si>
    <t>恭门镇</t>
  </si>
  <si>
    <t>红崖观至杨壑至恭门</t>
  </si>
  <si>
    <t>甘肃厚坤建设工程有限公司</t>
  </si>
  <si>
    <t>白沟至沙庄</t>
  </si>
  <si>
    <t>西坡至麻崖</t>
  </si>
  <si>
    <t>付川至西坡</t>
  </si>
  <si>
    <t>马鹿镇</t>
  </si>
  <si>
    <t>林峰至杏花沟</t>
  </si>
  <si>
    <t>龙口至陡崖</t>
  </si>
  <si>
    <t>胡川镇</t>
  </si>
  <si>
    <t>蒲家东组-西组</t>
  </si>
  <si>
    <t>张家川镇</t>
  </si>
  <si>
    <t>南山-后湾</t>
  </si>
  <si>
    <t>发电站-峡口村</t>
  </si>
  <si>
    <t>一标段小计</t>
  </si>
  <si>
    <t>刘堡镇</t>
  </si>
  <si>
    <t>东街至峡里</t>
  </si>
  <si>
    <t>张家川回族自治县第二建筑工程公司</t>
  </si>
  <si>
    <t>峡里至五星</t>
  </si>
  <si>
    <t>G566至郑沟</t>
  </si>
  <si>
    <t>米家至高家</t>
  </si>
  <si>
    <t>刘堡-王家</t>
  </si>
  <si>
    <t>张棉驿乡</t>
  </si>
  <si>
    <t>张大路-韦家</t>
  </si>
  <si>
    <t>二标段小计</t>
  </si>
  <si>
    <t>夏堡至夏堡三组</t>
  </si>
  <si>
    <t>甘肃三力建筑工程有限公司</t>
  </si>
  <si>
    <t>道林至养殖场合作社</t>
  </si>
  <si>
    <t>川王镇</t>
  </si>
  <si>
    <t>小河-冯家</t>
  </si>
  <si>
    <t>马达-冯家</t>
  </si>
  <si>
    <t>庄北路至东山</t>
  </si>
  <si>
    <t>烂泥地-郭湾</t>
  </si>
  <si>
    <t>大阳镇</t>
  </si>
  <si>
    <t>寨子村二组-村委会</t>
  </si>
  <si>
    <t>下渠村-吴家南山组</t>
  </si>
  <si>
    <t>连五乡</t>
  </si>
  <si>
    <t>兰家-中心</t>
  </si>
  <si>
    <t>陈家-陈台</t>
  </si>
  <si>
    <t>龙山镇</t>
  </si>
  <si>
    <t>连柯-连柯新村</t>
  </si>
  <si>
    <t>三标段小计</t>
  </si>
  <si>
    <t>梁山镇</t>
  </si>
  <si>
    <t>梁山-吕湾</t>
  </si>
  <si>
    <t>陇南华晨</t>
  </si>
  <si>
    <t>C075-唐刘</t>
  </si>
  <si>
    <t>樱桃沟路口-杨渠</t>
  </si>
  <si>
    <t>马关镇</t>
  </si>
  <si>
    <t>西庄-门神底</t>
  </si>
  <si>
    <t>木河乡</t>
  </si>
  <si>
    <t>麦梨湾-角寺</t>
  </si>
  <si>
    <t>太原至南山</t>
  </si>
  <si>
    <t>小杨-刘沟村虎沟组</t>
  </si>
  <si>
    <t>5.5/4.5</t>
  </si>
  <si>
    <t>4.5/3.5</t>
  </si>
  <si>
    <t>下渠村-八卜村</t>
  </si>
  <si>
    <t>胡川-张堡</t>
  </si>
  <si>
    <t>四标段小计</t>
  </si>
  <si>
    <t>张家川县2023年产业道路硬化项目建设完成情况公示表</t>
  </si>
  <si>
    <t>小计</t>
  </si>
  <si>
    <t>陇南华晨建设工程有限公司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</si>
</sst>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0.0000_ "/>
    <numFmt numFmtId="179" formatCode="0.00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b/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179" fontId="15" fillId="0" borderId="1" xfId="0" applyNumberFormat="1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opLeftCell="A10" workbookViewId="0">
      <selection activeCell="I22" sqref="I22:I33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30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35.2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" customFormat="1" ht="24.95" customHeight="1" spans="1:11">
      <c r="A4" s="77" t="s">
        <v>13</v>
      </c>
      <c r="B4" s="78"/>
      <c r="C4" s="79"/>
      <c r="D4" s="80">
        <f>SUM(D5:D42)</f>
        <v>65.885</v>
      </c>
      <c r="E4" s="80"/>
      <c r="F4" s="80"/>
      <c r="G4" s="81">
        <f>G14+G21+G33+G43</f>
        <v>4977.6092</v>
      </c>
      <c r="H4" s="81">
        <f>H14+H21+H33+H43</f>
        <v>4785.0362</v>
      </c>
      <c r="I4" s="81"/>
      <c r="J4" s="81">
        <f>J14+J21+J33+J43</f>
        <v>4693.2191</v>
      </c>
      <c r="K4" s="81">
        <f>K14+K21+K33+K43</f>
        <v>4448.4717</v>
      </c>
    </row>
    <row r="5" s="25" customFormat="1" ht="24.75" customHeight="1" spans="1:11">
      <c r="A5" s="27">
        <v>1</v>
      </c>
      <c r="B5" s="29" t="s">
        <v>14</v>
      </c>
      <c r="C5" s="29" t="s">
        <v>15</v>
      </c>
      <c r="D5" s="59">
        <v>5</v>
      </c>
      <c r="E5" s="29">
        <v>5.5</v>
      </c>
      <c r="F5" s="29">
        <v>4.5</v>
      </c>
      <c r="G5" s="31">
        <v>345.7391</v>
      </c>
      <c r="H5" s="31">
        <v>332.6927</v>
      </c>
      <c r="I5" s="6" t="s">
        <v>16</v>
      </c>
      <c r="J5" s="40">
        <f>317.1884+11.8014</f>
        <v>328.9898</v>
      </c>
      <c r="K5" s="40">
        <f>J5+9.627</f>
        <v>338.6168</v>
      </c>
    </row>
    <row r="6" s="25" customFormat="1" ht="24.75" customHeight="1" spans="1:11">
      <c r="A6" s="27">
        <v>2</v>
      </c>
      <c r="B6" s="29" t="s">
        <v>14</v>
      </c>
      <c r="C6" s="29" t="s">
        <v>17</v>
      </c>
      <c r="D6" s="59">
        <v>2.3</v>
      </c>
      <c r="E6" s="29">
        <v>5.5</v>
      </c>
      <c r="F6" s="29">
        <v>4.5</v>
      </c>
      <c r="G6" s="31">
        <v>181.3713</v>
      </c>
      <c r="H6" s="31">
        <v>174.7559</v>
      </c>
      <c r="I6" s="84"/>
      <c r="J6" s="40">
        <f>157.4042+15.4</f>
        <v>172.8042</v>
      </c>
      <c r="K6" s="40">
        <f>J6+7.2226</f>
        <v>180.0268</v>
      </c>
    </row>
    <row r="7" s="25" customFormat="1" ht="24.75" customHeight="1" spans="1:11">
      <c r="A7" s="27">
        <v>3</v>
      </c>
      <c r="B7" s="29" t="s">
        <v>14</v>
      </c>
      <c r="C7" s="29" t="s">
        <v>18</v>
      </c>
      <c r="D7" s="59">
        <v>1</v>
      </c>
      <c r="E7" s="29">
        <v>5.5</v>
      </c>
      <c r="F7" s="29">
        <v>4.5</v>
      </c>
      <c r="G7" s="31">
        <v>61.4711</v>
      </c>
      <c r="H7" s="31">
        <v>59.1159</v>
      </c>
      <c r="I7" s="84"/>
      <c r="J7" s="40">
        <f>58.2215+0.2055</f>
        <v>58.427</v>
      </c>
      <c r="K7" s="40">
        <f>J7+10.17</f>
        <v>68.597</v>
      </c>
    </row>
    <row r="8" s="25" customFormat="1" ht="24.75" customHeight="1" spans="1:11">
      <c r="A8" s="27">
        <v>4</v>
      </c>
      <c r="B8" s="29" t="s">
        <v>14</v>
      </c>
      <c r="C8" s="29" t="s">
        <v>19</v>
      </c>
      <c r="D8" s="59">
        <v>1.3</v>
      </c>
      <c r="E8" s="29">
        <v>4.5</v>
      </c>
      <c r="F8" s="29">
        <v>3.5</v>
      </c>
      <c r="G8" s="31">
        <v>69.7517</v>
      </c>
      <c r="H8" s="31">
        <v>67.042</v>
      </c>
      <c r="I8" s="84"/>
      <c r="J8" s="40">
        <f>66.1185+0.2055</f>
        <v>66.324</v>
      </c>
      <c r="K8" s="40">
        <f>J8+24.4109</f>
        <v>90.7349</v>
      </c>
    </row>
    <row r="9" s="25" customFormat="1" ht="24.75" customHeight="1" spans="1:11">
      <c r="A9" s="27">
        <v>5</v>
      </c>
      <c r="B9" s="28" t="s">
        <v>20</v>
      </c>
      <c r="C9" s="29" t="s">
        <v>21</v>
      </c>
      <c r="D9" s="59">
        <v>3.4</v>
      </c>
      <c r="E9" s="29">
        <v>5.5</v>
      </c>
      <c r="F9" s="29">
        <v>4.5</v>
      </c>
      <c r="G9" s="31">
        <v>223.1113</v>
      </c>
      <c r="H9" s="31">
        <v>214.7753</v>
      </c>
      <c r="I9" s="84"/>
      <c r="J9" s="40">
        <f>212.1356+0.2055</f>
        <v>212.3411</v>
      </c>
      <c r="K9" s="40">
        <f>J9-3.4547</f>
        <v>208.8864</v>
      </c>
    </row>
    <row r="10" s="25" customFormat="1" ht="24.75" customHeight="1" spans="1:11">
      <c r="A10" s="27">
        <v>6</v>
      </c>
      <c r="B10" s="28" t="s">
        <v>20</v>
      </c>
      <c r="C10" s="29" t="s">
        <v>22</v>
      </c>
      <c r="D10" s="59">
        <v>2.7</v>
      </c>
      <c r="E10" s="29">
        <v>5.5</v>
      </c>
      <c r="F10" s="29">
        <v>4.5</v>
      </c>
      <c r="G10" s="31">
        <v>194.5176</v>
      </c>
      <c r="H10" s="31">
        <v>187.2316</v>
      </c>
      <c r="I10" s="84"/>
      <c r="J10" s="40">
        <v>161.0913</v>
      </c>
      <c r="K10" s="40"/>
    </row>
    <row r="11" s="25" customFormat="1" ht="24.75" customHeight="1" spans="1:11">
      <c r="A11" s="27">
        <v>7</v>
      </c>
      <c r="B11" s="28" t="s">
        <v>23</v>
      </c>
      <c r="C11" s="29" t="s">
        <v>24</v>
      </c>
      <c r="D11" s="30">
        <v>0.715</v>
      </c>
      <c r="E11" s="29">
        <v>5.5</v>
      </c>
      <c r="F11" s="29">
        <v>4.5</v>
      </c>
      <c r="G11" s="32">
        <v>63.3597</v>
      </c>
      <c r="H11" s="31">
        <v>60.0138</v>
      </c>
      <c r="I11" s="84"/>
      <c r="J11" s="40">
        <f>56.9235+2.4446</f>
        <v>59.3681</v>
      </c>
      <c r="K11" s="40">
        <f>J11+2.4769</f>
        <v>61.845</v>
      </c>
    </row>
    <row r="12" s="25" customFormat="1" ht="24.75" customHeight="1" spans="1:11">
      <c r="A12" s="27">
        <v>8</v>
      </c>
      <c r="B12" s="29" t="s">
        <v>25</v>
      </c>
      <c r="C12" s="29" t="s">
        <v>26</v>
      </c>
      <c r="D12" s="35">
        <v>1</v>
      </c>
      <c r="E12" s="29">
        <v>5.5</v>
      </c>
      <c r="F12" s="29">
        <v>4.5</v>
      </c>
      <c r="G12" s="32">
        <v>81.7391</v>
      </c>
      <c r="H12" s="33">
        <v>77.9011</v>
      </c>
      <c r="I12" s="84"/>
      <c r="J12" s="40">
        <v>74.9001</v>
      </c>
      <c r="K12" s="40"/>
    </row>
    <row r="13" s="25" customFormat="1" ht="24.75" customHeight="1" spans="1:11">
      <c r="A13" s="27">
        <v>9</v>
      </c>
      <c r="B13" s="29" t="s">
        <v>25</v>
      </c>
      <c r="C13" s="29" t="s">
        <v>27</v>
      </c>
      <c r="D13" s="35">
        <v>0.35</v>
      </c>
      <c r="E13" s="29">
        <v>5.5</v>
      </c>
      <c r="F13" s="29">
        <v>4.5</v>
      </c>
      <c r="G13" s="32">
        <v>29.8394</v>
      </c>
      <c r="H13" s="33">
        <v>27.9704</v>
      </c>
      <c r="I13" s="84"/>
      <c r="J13" s="40">
        <v>27.6921</v>
      </c>
      <c r="K13" s="40">
        <f>J13+3.2443</f>
        <v>30.9364</v>
      </c>
    </row>
    <row r="14" s="26" customFormat="1" ht="24.75" customHeight="1" spans="1:11">
      <c r="A14" s="36" t="s">
        <v>28</v>
      </c>
      <c r="B14" s="37"/>
      <c r="C14" s="5"/>
      <c r="D14" s="38"/>
      <c r="E14" s="5"/>
      <c r="F14" s="5"/>
      <c r="G14" s="63">
        <f>SUM(G5:G13)</f>
        <v>1250.9003</v>
      </c>
      <c r="H14" s="82">
        <f>SUM(H5:H13)</f>
        <v>1201.4987</v>
      </c>
      <c r="I14" s="7"/>
      <c r="J14" s="85">
        <f>SUM(J5:J13)</f>
        <v>1161.9377</v>
      </c>
      <c r="K14" s="85">
        <f>SUM(K5:K13)</f>
        <v>979.6433</v>
      </c>
    </row>
    <row r="15" s="25" customFormat="1" ht="24.75" customHeight="1" spans="1:11">
      <c r="A15" s="27">
        <v>10</v>
      </c>
      <c r="B15" s="28" t="s">
        <v>29</v>
      </c>
      <c r="C15" s="29" t="s">
        <v>30</v>
      </c>
      <c r="D15" s="59">
        <v>2.8</v>
      </c>
      <c r="E15" s="29">
        <v>5.5</v>
      </c>
      <c r="F15" s="29">
        <v>4.5</v>
      </c>
      <c r="G15" s="31">
        <v>201.0334</v>
      </c>
      <c r="H15" s="31">
        <v>193.5462</v>
      </c>
      <c r="I15" s="6" t="s">
        <v>31</v>
      </c>
      <c r="J15" s="40">
        <f>190.9906+0.2055</f>
        <v>191.1961</v>
      </c>
      <c r="K15" s="40">
        <f>J15+1.0239</f>
        <v>192.22</v>
      </c>
    </row>
    <row r="16" s="25" customFormat="1" ht="24.75" customHeight="1" spans="1:11">
      <c r="A16" s="27">
        <v>11</v>
      </c>
      <c r="B16" s="28" t="s">
        <v>29</v>
      </c>
      <c r="C16" s="29" t="s">
        <v>32</v>
      </c>
      <c r="D16" s="34">
        <v>4</v>
      </c>
      <c r="E16" s="29">
        <v>5.5</v>
      </c>
      <c r="F16" s="29">
        <v>4.5</v>
      </c>
      <c r="G16" s="31">
        <v>372.7561</v>
      </c>
      <c r="H16" s="31">
        <v>359.4561</v>
      </c>
      <c r="I16" s="84"/>
      <c r="J16" s="60">
        <f>328.957+26.449</f>
        <v>355.406</v>
      </c>
      <c r="K16" s="60">
        <f>J16-14.2684</f>
        <v>341.1376</v>
      </c>
    </row>
    <row r="17" s="25" customFormat="1" ht="24.75" customHeight="1" spans="1:11">
      <c r="A17" s="27">
        <v>12</v>
      </c>
      <c r="B17" s="28" t="s">
        <v>29</v>
      </c>
      <c r="C17" s="29" t="s">
        <v>33</v>
      </c>
      <c r="D17" s="34">
        <v>2</v>
      </c>
      <c r="E17" s="29">
        <v>5.5</v>
      </c>
      <c r="F17" s="29">
        <v>4.5</v>
      </c>
      <c r="G17" s="31">
        <v>157.4582</v>
      </c>
      <c r="H17" s="31">
        <v>151.6358</v>
      </c>
      <c r="I17" s="84"/>
      <c r="J17" s="40">
        <f>144.9608+4.9526</f>
        <v>149.9134</v>
      </c>
      <c r="K17" s="40">
        <f>J17+6.0734</f>
        <v>155.9868</v>
      </c>
    </row>
    <row r="18" s="25" customFormat="1" ht="24.75" customHeight="1" spans="1:11">
      <c r="A18" s="27">
        <v>13</v>
      </c>
      <c r="B18" s="28" t="s">
        <v>29</v>
      </c>
      <c r="C18" s="29" t="s">
        <v>34</v>
      </c>
      <c r="D18" s="59">
        <v>2.4</v>
      </c>
      <c r="E18" s="29">
        <v>5.5</v>
      </c>
      <c r="F18" s="29">
        <v>4.5</v>
      </c>
      <c r="G18" s="31">
        <v>162.9571</v>
      </c>
      <c r="H18" s="31">
        <v>157.0064</v>
      </c>
      <c r="I18" s="84"/>
      <c r="J18" s="40">
        <f>145.3753+9.9039</f>
        <v>155.2792</v>
      </c>
      <c r="K18" s="40">
        <f>J18+14.6624</f>
        <v>169.9416</v>
      </c>
    </row>
    <row r="19" s="25" customFormat="1" ht="24.75" customHeight="1" spans="1:11">
      <c r="A19" s="27">
        <v>14</v>
      </c>
      <c r="B19" s="29" t="s">
        <v>29</v>
      </c>
      <c r="C19" s="29" t="s">
        <v>35</v>
      </c>
      <c r="D19" s="30">
        <v>4.8</v>
      </c>
      <c r="E19" s="29">
        <v>4.5</v>
      </c>
      <c r="F19" s="29">
        <v>3.5</v>
      </c>
      <c r="G19" s="31">
        <v>302.8106</v>
      </c>
      <c r="H19" s="33">
        <v>290.9108</v>
      </c>
      <c r="I19" s="84"/>
      <c r="J19" s="40">
        <f>278.8996+9.6479</f>
        <v>288.5475</v>
      </c>
      <c r="K19" s="40">
        <f>J19+1.5098</f>
        <v>290.0573</v>
      </c>
    </row>
    <row r="20" s="25" customFormat="1" ht="24.75" customHeight="1" spans="1:11">
      <c r="A20" s="27">
        <v>15</v>
      </c>
      <c r="B20" s="29" t="s">
        <v>36</v>
      </c>
      <c r="C20" s="29" t="s">
        <v>37</v>
      </c>
      <c r="D20" s="30">
        <v>1.5</v>
      </c>
      <c r="E20" s="29">
        <v>5.5</v>
      </c>
      <c r="F20" s="29">
        <v>4.5</v>
      </c>
      <c r="G20" s="32">
        <v>110.6196</v>
      </c>
      <c r="H20" s="33">
        <v>106.2886</v>
      </c>
      <c r="I20" s="84"/>
      <c r="J20" s="40">
        <f>101.3498+3.8011</f>
        <v>105.1509</v>
      </c>
      <c r="K20" s="40">
        <f>J20-2.9928</f>
        <v>102.1581</v>
      </c>
    </row>
    <row r="21" s="25" customFormat="1" ht="24.75" customHeight="1" spans="1:11">
      <c r="A21" s="36" t="s">
        <v>38</v>
      </c>
      <c r="B21" s="37"/>
      <c r="C21" s="29"/>
      <c r="D21" s="30"/>
      <c r="E21" s="29"/>
      <c r="F21" s="29"/>
      <c r="G21" s="83">
        <f>SUM(G15:G20)</f>
        <v>1307.635</v>
      </c>
      <c r="H21" s="82">
        <f>SUM(H15:H20)</f>
        <v>1258.8439</v>
      </c>
      <c r="I21" s="84"/>
      <c r="J21" s="85">
        <f>SUM(J15:J20)</f>
        <v>1245.4931</v>
      </c>
      <c r="K21" s="40">
        <f>SUM(K15:K20)</f>
        <v>1251.5014</v>
      </c>
    </row>
    <row r="22" s="25" customFormat="1" ht="24.75" customHeight="1" spans="1:11">
      <c r="A22" s="27">
        <v>16</v>
      </c>
      <c r="B22" s="29" t="s">
        <v>23</v>
      </c>
      <c r="C22" s="29" t="s">
        <v>39</v>
      </c>
      <c r="D22" s="59">
        <v>1.8</v>
      </c>
      <c r="E22" s="29">
        <v>5.5</v>
      </c>
      <c r="F22" s="29">
        <v>4.5</v>
      </c>
      <c r="G22" s="31">
        <v>144.2348</v>
      </c>
      <c r="H22" s="31">
        <v>139.0076</v>
      </c>
      <c r="I22" s="6" t="s">
        <v>40</v>
      </c>
      <c r="J22" s="40">
        <f>135.3189+2.2394</f>
        <v>137.5583</v>
      </c>
      <c r="K22" s="40">
        <f>J22-10.0602</f>
        <v>127.4981</v>
      </c>
    </row>
    <row r="23" s="25" customFormat="1" ht="24.75" customHeight="1" spans="1:11">
      <c r="A23" s="27">
        <v>17</v>
      </c>
      <c r="B23" s="29" t="s">
        <v>23</v>
      </c>
      <c r="C23" s="29" t="s">
        <v>41</v>
      </c>
      <c r="D23" s="34">
        <v>0.2</v>
      </c>
      <c r="E23" s="29">
        <v>4.5</v>
      </c>
      <c r="F23" s="29">
        <v>3.5</v>
      </c>
      <c r="G23" s="31">
        <v>10.8738</v>
      </c>
      <c r="H23" s="31">
        <v>10.4557</v>
      </c>
      <c r="I23" s="84"/>
      <c r="J23" s="40">
        <f>9.2731+1.0168</f>
        <v>10.2899</v>
      </c>
      <c r="K23" s="40">
        <f>J23+0.8202</f>
        <v>11.1101</v>
      </c>
    </row>
    <row r="24" s="25" customFormat="1" ht="24.75" customHeight="1" spans="1:11">
      <c r="A24" s="27">
        <v>18</v>
      </c>
      <c r="B24" s="29" t="s">
        <v>42</v>
      </c>
      <c r="C24" s="29" t="s">
        <v>43</v>
      </c>
      <c r="D24" s="30">
        <v>1.2</v>
      </c>
      <c r="E24" s="29">
        <v>5.5</v>
      </c>
      <c r="F24" s="29">
        <v>4.5</v>
      </c>
      <c r="G24" s="32">
        <v>107.1831</v>
      </c>
      <c r="H24" s="33">
        <v>103.0207</v>
      </c>
      <c r="I24" s="84"/>
      <c r="J24" s="40">
        <f>90.9541+6.471</f>
        <v>97.4251</v>
      </c>
      <c r="K24" s="40"/>
    </row>
    <row r="25" s="25" customFormat="1" ht="24.75" customHeight="1" spans="1:11">
      <c r="A25" s="27">
        <v>19</v>
      </c>
      <c r="B25" s="29" t="s">
        <v>42</v>
      </c>
      <c r="C25" s="29" t="s">
        <v>44</v>
      </c>
      <c r="D25" s="35">
        <v>1.1</v>
      </c>
      <c r="E25" s="29">
        <v>5.5</v>
      </c>
      <c r="F25" s="29">
        <v>4.5</v>
      </c>
      <c r="G25" s="32">
        <v>91.9919</v>
      </c>
      <c r="H25" s="33">
        <v>88.3153</v>
      </c>
      <c r="I25" s="84"/>
      <c r="J25" s="40">
        <v>87.3383</v>
      </c>
      <c r="K25" s="40">
        <f>J25-2.7335</f>
        <v>84.6048</v>
      </c>
    </row>
    <row r="26" s="25" customFormat="1" ht="24.75" customHeight="1" spans="1:11">
      <c r="A26" s="27">
        <v>20</v>
      </c>
      <c r="B26" s="29" t="s">
        <v>36</v>
      </c>
      <c r="C26" s="29" t="s">
        <v>45</v>
      </c>
      <c r="D26" s="34">
        <v>3</v>
      </c>
      <c r="E26" s="29">
        <v>5.5</v>
      </c>
      <c r="F26" s="29">
        <v>4.5</v>
      </c>
      <c r="G26" s="31">
        <v>237.6225</v>
      </c>
      <c r="H26" s="31">
        <v>228.8387</v>
      </c>
      <c r="I26" s="84"/>
      <c r="J26" s="40">
        <f>202.5482+23.8041</f>
        <v>226.3523</v>
      </c>
      <c r="K26" s="40">
        <f>J26-13.7579</f>
        <v>212.5944</v>
      </c>
    </row>
    <row r="27" s="25" customFormat="1" ht="24.75" customHeight="1" spans="1:11">
      <c r="A27" s="27">
        <v>21</v>
      </c>
      <c r="B27" s="28" t="s">
        <v>36</v>
      </c>
      <c r="C27" s="29" t="s">
        <v>46</v>
      </c>
      <c r="D27" s="30">
        <v>1.62</v>
      </c>
      <c r="E27" s="29">
        <v>5.5</v>
      </c>
      <c r="F27" s="29">
        <v>4.5</v>
      </c>
      <c r="G27" s="58">
        <v>115.4272</v>
      </c>
      <c r="H27" s="33">
        <v>110.9572</v>
      </c>
      <c r="I27" s="84"/>
      <c r="J27" s="40">
        <f>105.0584+4.5097</f>
        <v>109.5681</v>
      </c>
      <c r="K27" s="40">
        <f>J27+0.1378</f>
        <v>109.7059</v>
      </c>
    </row>
    <row r="28" s="25" customFormat="1" ht="24.75" customHeight="1" spans="1:11">
      <c r="A28" s="27">
        <v>22</v>
      </c>
      <c r="B28" s="28" t="s">
        <v>47</v>
      </c>
      <c r="C28" s="29" t="s">
        <v>48</v>
      </c>
      <c r="D28" s="30">
        <v>1.1</v>
      </c>
      <c r="E28" s="29">
        <v>5.5</v>
      </c>
      <c r="F28" s="29">
        <v>4.5</v>
      </c>
      <c r="G28" s="31">
        <v>97.4615</v>
      </c>
      <c r="H28" s="31">
        <v>93.6253</v>
      </c>
      <c r="I28" s="84"/>
      <c r="J28" s="40">
        <f>87.8635+4.6492</f>
        <v>92.5127</v>
      </c>
      <c r="K28" s="40">
        <f>J28+0.8364</f>
        <v>93.3491</v>
      </c>
    </row>
    <row r="29" s="25" customFormat="1" ht="24.75" customHeight="1" spans="1:11">
      <c r="A29" s="27">
        <v>23</v>
      </c>
      <c r="B29" s="29" t="s">
        <v>47</v>
      </c>
      <c r="C29" s="29" t="s">
        <v>49</v>
      </c>
      <c r="D29" s="30">
        <v>1.65</v>
      </c>
      <c r="E29" s="29">
        <v>5.5</v>
      </c>
      <c r="F29" s="29">
        <v>4.5</v>
      </c>
      <c r="G29" s="32">
        <v>124.5655</v>
      </c>
      <c r="H29" s="33">
        <v>119.8217</v>
      </c>
      <c r="I29" s="84"/>
      <c r="J29" s="40">
        <f>111.3173+7.0528</f>
        <v>118.3701</v>
      </c>
      <c r="K29" s="40">
        <f>J29+6.0326</f>
        <v>124.4027</v>
      </c>
    </row>
    <row r="30" s="25" customFormat="1" ht="24.75" customHeight="1" spans="1:11">
      <c r="A30" s="27">
        <v>24</v>
      </c>
      <c r="B30" s="29" t="s">
        <v>50</v>
      </c>
      <c r="C30" s="29" t="s">
        <v>51</v>
      </c>
      <c r="D30" s="35">
        <v>3.03</v>
      </c>
      <c r="E30" s="29">
        <v>5.5</v>
      </c>
      <c r="F30" s="29">
        <v>4.5</v>
      </c>
      <c r="G30" s="32">
        <v>238.22</v>
      </c>
      <c r="H30" s="33">
        <v>229.2871</v>
      </c>
      <c r="I30" s="84"/>
      <c r="J30" s="40">
        <f>212.3404+14.4096</f>
        <v>226.75</v>
      </c>
      <c r="K30" s="40">
        <f>J30+7.1025</f>
        <v>233.8525</v>
      </c>
    </row>
    <row r="31" s="25" customFormat="1" ht="24.75" customHeight="1" spans="1:11">
      <c r="A31" s="27">
        <v>25</v>
      </c>
      <c r="B31" s="29" t="s">
        <v>50</v>
      </c>
      <c r="C31" s="29" t="s">
        <v>52</v>
      </c>
      <c r="D31" s="35">
        <v>1.16</v>
      </c>
      <c r="E31" s="29">
        <v>5.5</v>
      </c>
      <c r="F31" s="29">
        <v>4.5</v>
      </c>
      <c r="G31" s="32">
        <v>101.5745</v>
      </c>
      <c r="H31" s="33">
        <v>97.5725</v>
      </c>
      <c r="I31" s="84"/>
      <c r="J31" s="40">
        <f>96.3953+0.2055</f>
        <v>96.6008</v>
      </c>
      <c r="K31" s="40">
        <f>J31+11.2014</f>
        <v>107.8022</v>
      </c>
    </row>
    <row r="32" s="25" customFormat="1" ht="24.75" customHeight="1" spans="1:11">
      <c r="A32" s="27">
        <v>26</v>
      </c>
      <c r="B32" s="28" t="s">
        <v>53</v>
      </c>
      <c r="C32" s="29" t="s">
        <v>54</v>
      </c>
      <c r="D32" s="30">
        <v>0.72</v>
      </c>
      <c r="E32" s="29">
        <v>4.5</v>
      </c>
      <c r="F32" s="29">
        <v>3.5</v>
      </c>
      <c r="G32" s="31">
        <v>46.8447</v>
      </c>
      <c r="H32" s="33">
        <v>44.3861</v>
      </c>
      <c r="I32" s="84"/>
      <c r="J32" s="40">
        <f>39.7688+4.068</f>
        <v>43.8368</v>
      </c>
      <c r="K32" s="40">
        <f>J32+8.3839</f>
        <v>52.2207</v>
      </c>
    </row>
    <row r="33" s="26" customFormat="1" ht="24.75" customHeight="1" spans="1:11">
      <c r="A33" s="36" t="s">
        <v>55</v>
      </c>
      <c r="B33" s="37"/>
      <c r="C33" s="5"/>
      <c r="D33" s="80"/>
      <c r="E33" s="5"/>
      <c r="F33" s="5"/>
      <c r="G33" s="83">
        <f>SUM(G22:G32)</f>
        <v>1315.9995</v>
      </c>
      <c r="H33" s="83">
        <f>SUM(H22:H32)</f>
        <v>1265.2879</v>
      </c>
      <c r="I33" s="84"/>
      <c r="J33" s="85">
        <f>SUM(J22:J32)</f>
        <v>1246.6024</v>
      </c>
      <c r="K33" s="85">
        <f>SUM(K22:K32)</f>
        <v>1157.1405</v>
      </c>
    </row>
    <row r="34" s="25" customFormat="1" ht="22.5" customHeight="1" spans="1:11">
      <c r="A34" s="27">
        <v>27</v>
      </c>
      <c r="B34" s="29" t="s">
        <v>56</v>
      </c>
      <c r="C34" s="29" t="s">
        <v>57</v>
      </c>
      <c r="D34" s="30">
        <v>3.72</v>
      </c>
      <c r="E34" s="29">
        <v>5.5</v>
      </c>
      <c r="F34" s="29">
        <v>4.5</v>
      </c>
      <c r="G34" s="32">
        <v>254.3782</v>
      </c>
      <c r="H34" s="33">
        <v>244.7041</v>
      </c>
      <c r="I34" s="5" t="s">
        <v>58</v>
      </c>
      <c r="J34" s="40">
        <f>234.3225+1.4772</f>
        <v>235.7997</v>
      </c>
      <c r="K34" s="40">
        <f>J34+13.3312</f>
        <v>249.1309</v>
      </c>
    </row>
    <row r="35" s="25" customFormat="1" ht="22.5" customHeight="1" spans="1:11">
      <c r="A35" s="27">
        <v>28</v>
      </c>
      <c r="B35" s="29" t="s">
        <v>56</v>
      </c>
      <c r="C35" s="29" t="s">
        <v>59</v>
      </c>
      <c r="D35" s="30">
        <v>0.4</v>
      </c>
      <c r="E35" s="29">
        <v>4.5</v>
      </c>
      <c r="F35" s="29">
        <v>3.5</v>
      </c>
      <c r="G35" s="32">
        <v>26.8549</v>
      </c>
      <c r="H35" s="33">
        <v>25.0477</v>
      </c>
      <c r="I35" s="5"/>
      <c r="J35" s="40">
        <f>23.1345</f>
        <v>23.1345</v>
      </c>
      <c r="K35" s="40">
        <f>J35-1.9672</f>
        <v>21.1673</v>
      </c>
    </row>
    <row r="36" s="25" customFormat="1" ht="22.5" customHeight="1" spans="1:11">
      <c r="A36" s="27">
        <v>29</v>
      </c>
      <c r="B36" s="29" t="s">
        <v>56</v>
      </c>
      <c r="C36" s="29" t="s">
        <v>60</v>
      </c>
      <c r="D36" s="30">
        <v>0.7</v>
      </c>
      <c r="E36" s="29">
        <v>5.5</v>
      </c>
      <c r="F36" s="29">
        <v>4.5</v>
      </c>
      <c r="G36" s="32">
        <v>53.9586</v>
      </c>
      <c r="H36" s="33">
        <v>51.3806</v>
      </c>
      <c r="I36" s="5"/>
      <c r="J36" s="40">
        <f>46.8059+3.729</f>
        <v>50.5349</v>
      </c>
      <c r="K36" s="40">
        <f>J36+3.0277</f>
        <v>53.5626</v>
      </c>
    </row>
    <row r="37" s="25" customFormat="1" ht="22.5" customHeight="1" spans="1:11">
      <c r="A37" s="27">
        <v>30</v>
      </c>
      <c r="B37" s="29" t="s">
        <v>61</v>
      </c>
      <c r="C37" s="29" t="s">
        <v>62</v>
      </c>
      <c r="D37" s="30">
        <v>0.7</v>
      </c>
      <c r="E37" s="29">
        <v>5.5</v>
      </c>
      <c r="F37" s="29">
        <v>4.5</v>
      </c>
      <c r="G37" s="32">
        <v>64.6202</v>
      </c>
      <c r="H37" s="31">
        <v>61.7604</v>
      </c>
      <c r="I37" s="5"/>
      <c r="J37" s="40">
        <f>59.4369+1.5621</f>
        <v>60.999</v>
      </c>
      <c r="K37" s="40">
        <f>J37-1.5018</f>
        <v>59.4972</v>
      </c>
    </row>
    <row r="38" s="25" customFormat="1" ht="22.5" customHeight="1" spans="1:11">
      <c r="A38" s="27">
        <v>31</v>
      </c>
      <c r="B38" s="28" t="s">
        <v>63</v>
      </c>
      <c r="C38" s="29" t="s">
        <v>64</v>
      </c>
      <c r="D38" s="30">
        <v>1.72</v>
      </c>
      <c r="E38" s="29">
        <v>5.5</v>
      </c>
      <c r="F38" s="29">
        <v>4.5</v>
      </c>
      <c r="G38" s="31">
        <v>137.9053</v>
      </c>
      <c r="H38" s="31">
        <v>132.7345</v>
      </c>
      <c r="I38" s="5"/>
      <c r="J38" s="40">
        <f>123.7923+7.4711</f>
        <v>131.2634</v>
      </c>
      <c r="K38" s="40">
        <f>J38+9.5289</f>
        <v>140.7923</v>
      </c>
    </row>
    <row r="39" s="25" customFormat="1" ht="22.5" customHeight="1" spans="1:11">
      <c r="A39" s="27">
        <v>32</v>
      </c>
      <c r="B39" s="29" t="s">
        <v>47</v>
      </c>
      <c r="C39" s="29" t="s">
        <v>65</v>
      </c>
      <c r="D39" s="34">
        <v>2.2</v>
      </c>
      <c r="E39" s="29">
        <v>5.5</v>
      </c>
      <c r="F39" s="29">
        <v>4.5</v>
      </c>
      <c r="G39" s="31">
        <v>205.1907</v>
      </c>
      <c r="H39" s="31">
        <v>198.0075</v>
      </c>
      <c r="I39" s="5"/>
      <c r="J39" s="40">
        <f>176.9863+18.6521</f>
        <v>195.6384</v>
      </c>
      <c r="K39" s="40">
        <f>J39-0.6423</f>
        <v>194.9961</v>
      </c>
    </row>
    <row r="40" s="25" customFormat="1" ht="22.5" customHeight="1" spans="1:11">
      <c r="A40" s="27">
        <v>33</v>
      </c>
      <c r="B40" s="29" t="s">
        <v>47</v>
      </c>
      <c r="C40" s="29" t="s">
        <v>66</v>
      </c>
      <c r="D40" s="30">
        <v>1.2</v>
      </c>
      <c r="E40" s="29" t="s">
        <v>67</v>
      </c>
      <c r="F40" s="29" t="s">
        <v>68</v>
      </c>
      <c r="G40" s="32">
        <v>94.0097</v>
      </c>
      <c r="H40" s="31">
        <v>90.2023</v>
      </c>
      <c r="I40" s="5"/>
      <c r="J40" s="40">
        <f>80.9648+8.2396</f>
        <v>89.2044</v>
      </c>
      <c r="K40" s="40">
        <f>J40-3.7579</f>
        <v>85.4465</v>
      </c>
    </row>
    <row r="41" s="25" customFormat="1" ht="22.5" customHeight="1" spans="1:11">
      <c r="A41" s="27">
        <v>34</v>
      </c>
      <c r="B41" s="29" t="s">
        <v>47</v>
      </c>
      <c r="C41" s="29" t="s">
        <v>69</v>
      </c>
      <c r="D41" s="35">
        <v>1.3</v>
      </c>
      <c r="E41" s="29">
        <v>5.5</v>
      </c>
      <c r="F41" s="29">
        <v>4.5</v>
      </c>
      <c r="G41" s="31">
        <v>104.343</v>
      </c>
      <c r="H41" s="33">
        <v>100.2488</v>
      </c>
      <c r="I41" s="5"/>
      <c r="J41" s="40">
        <f>93.9971+5.1578</f>
        <v>99.1549</v>
      </c>
      <c r="K41" s="40">
        <v>93.9971</v>
      </c>
    </row>
    <row r="42" s="25" customFormat="1" ht="22.5" customHeight="1" spans="1:11">
      <c r="A42" s="27">
        <v>35</v>
      </c>
      <c r="B42" s="29" t="s">
        <v>23</v>
      </c>
      <c r="C42" s="29" t="s">
        <v>70</v>
      </c>
      <c r="D42" s="35">
        <v>2.1</v>
      </c>
      <c r="E42" s="29">
        <v>5.5</v>
      </c>
      <c r="F42" s="29">
        <v>4.5</v>
      </c>
      <c r="G42" s="32">
        <v>161.8138</v>
      </c>
      <c r="H42" s="33">
        <v>155.3198</v>
      </c>
      <c r="I42" s="5"/>
      <c r="J42" s="40">
        <f>150.8421+2.6146</f>
        <v>153.4567</v>
      </c>
      <c r="K42" s="40">
        <f>J42+8.1398</f>
        <v>161.5965</v>
      </c>
    </row>
    <row r="43" s="26" customFormat="1" ht="22.5" customHeight="1" spans="1:11">
      <c r="A43" s="36" t="s">
        <v>71</v>
      </c>
      <c r="B43" s="37"/>
      <c r="C43" s="5"/>
      <c r="D43" s="38"/>
      <c r="E43" s="5"/>
      <c r="F43" s="5"/>
      <c r="G43" s="63">
        <f>SUM(G34:G42)</f>
        <v>1103.0744</v>
      </c>
      <c r="H43" s="81">
        <f>SUM(H34:H42)</f>
        <v>1059.4057</v>
      </c>
      <c r="I43" s="5"/>
      <c r="J43" s="85">
        <f>SUM(J34:J42)</f>
        <v>1039.1859</v>
      </c>
      <c r="K43" s="85">
        <f>SUM(K34:K42)</f>
        <v>1060.1865</v>
      </c>
    </row>
    <row r="44" ht="33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/>
    <row r="54"/>
    <row r="55"/>
    <row r="56"/>
    <row r="57"/>
    <row r="61"/>
    <row r="62"/>
    <row r="63"/>
  </sheetData>
  <mergeCells count="19">
    <mergeCell ref="A1:K1"/>
    <mergeCell ref="D2:F2"/>
    <mergeCell ref="A4:B4"/>
    <mergeCell ref="A14:B14"/>
    <mergeCell ref="A21:B21"/>
    <mergeCell ref="A33:B33"/>
    <mergeCell ref="A43:B43"/>
    <mergeCell ref="A2:A3"/>
    <mergeCell ref="B2:B3"/>
    <mergeCell ref="C2:C3"/>
    <mergeCell ref="G2:G3"/>
    <mergeCell ref="H2:H3"/>
    <mergeCell ref="I2:I3"/>
    <mergeCell ref="I5:I14"/>
    <mergeCell ref="I15:I21"/>
    <mergeCell ref="I22:I33"/>
    <mergeCell ref="I34:I43"/>
    <mergeCell ref="J2:J3"/>
    <mergeCell ref="K2:K3"/>
  </mergeCells>
  <pageMargins left="0.700694444444445" right="0.700694444444445" top="0.590277777777778" bottom="0.511805555555556" header="0.298611111111111" footer="0.298611111111111"/>
  <pageSetup paperSize="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R4" sqref="R4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57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1.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61.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1" customFormat="1" ht="61.5" customHeight="1" spans="1:11">
      <c r="A4" s="8">
        <v>1</v>
      </c>
      <c r="B4" s="10" t="s">
        <v>50</v>
      </c>
      <c r="C4" s="10" t="s">
        <v>51</v>
      </c>
      <c r="D4" s="24">
        <v>3.03</v>
      </c>
      <c r="E4" s="10">
        <v>5.5</v>
      </c>
      <c r="F4" s="10">
        <v>4.5</v>
      </c>
      <c r="G4" s="19">
        <v>238.22</v>
      </c>
      <c r="H4" s="20">
        <v>229.2871</v>
      </c>
      <c r="I4" s="22" t="s">
        <v>40</v>
      </c>
      <c r="J4" s="18">
        <f>212.3404+14.4096</f>
        <v>226.75</v>
      </c>
      <c r="K4" s="18">
        <f>J4+7.1025</f>
        <v>233.8525</v>
      </c>
    </row>
    <row r="5" s="1" customFormat="1" ht="61.5" customHeight="1" spans="1:11">
      <c r="A5" s="8">
        <v>2</v>
      </c>
      <c r="B5" s="10" t="s">
        <v>50</v>
      </c>
      <c r="C5" s="10" t="s">
        <v>52</v>
      </c>
      <c r="D5" s="24">
        <v>1.16</v>
      </c>
      <c r="E5" s="10">
        <v>5.5</v>
      </c>
      <c r="F5" s="10">
        <v>4.5</v>
      </c>
      <c r="G5" s="19">
        <v>101.5745</v>
      </c>
      <c r="H5" s="20">
        <v>97.5725</v>
      </c>
      <c r="I5" s="22"/>
      <c r="J5" s="18">
        <f>96.3953+0.2055</f>
        <v>96.6008</v>
      </c>
      <c r="K5" s="18">
        <f>J5+11.2014</f>
        <v>107.8022</v>
      </c>
    </row>
    <row r="6" s="2" customFormat="1" ht="61.5" customHeight="1" spans="1:11">
      <c r="A6" s="13" t="s">
        <v>73</v>
      </c>
      <c r="B6" s="14"/>
      <c r="C6" s="15"/>
      <c r="D6" s="16">
        <f>SUM(D4:D5)</f>
        <v>4.19</v>
      </c>
      <c r="E6" s="16"/>
      <c r="F6" s="16"/>
      <c r="G6" s="16">
        <f t="shared" ref="E6:K6" si="0">SUM(G4:G5)</f>
        <v>339.7945</v>
      </c>
      <c r="H6" s="16">
        <f t="shared" si="0"/>
        <v>326.8596</v>
      </c>
      <c r="I6" s="16"/>
      <c r="J6" s="16">
        <f t="shared" si="0"/>
        <v>323.3508</v>
      </c>
      <c r="K6" s="16">
        <f t="shared" si="0"/>
        <v>341.6547</v>
      </c>
    </row>
    <row r="7" ht="33" customHeight="1"/>
    <row r="8" ht="13.5" customHeight="1"/>
    <row r="9" ht="13.5" customHeight="1"/>
    <row r="10" ht="13.5" customHeight="1"/>
    <row r="11" ht="13.5" customHeight="1"/>
    <row r="12"/>
    <row r="13"/>
    <row r="14"/>
    <row r="15"/>
    <row r="16"/>
    <row r="17"/>
    <row r="18"/>
    <row r="19"/>
    <row r="20"/>
    <row r="24"/>
    <row r="25"/>
    <row r="26"/>
  </sheetData>
  <mergeCells count="12">
    <mergeCell ref="A1:K1"/>
    <mergeCell ref="D2:F2"/>
    <mergeCell ref="A6:B6"/>
    <mergeCell ref="A2:A3"/>
    <mergeCell ref="B2:B3"/>
    <mergeCell ref="C2:C3"/>
    <mergeCell ref="G2:G3"/>
    <mergeCell ref="H2:H3"/>
    <mergeCell ref="I2:I3"/>
    <mergeCell ref="I4:I5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I4" sqref="I4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7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2.2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69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1" customFormat="1" ht="69" customHeight="1" spans="1:11">
      <c r="A4" s="8">
        <v>1</v>
      </c>
      <c r="B4" s="9" t="s">
        <v>53</v>
      </c>
      <c r="C4" s="10" t="s">
        <v>54</v>
      </c>
      <c r="D4" s="11">
        <v>0.72</v>
      </c>
      <c r="E4" s="10">
        <v>4.5</v>
      </c>
      <c r="F4" s="10">
        <v>3.5</v>
      </c>
      <c r="G4" s="12">
        <v>46.8447</v>
      </c>
      <c r="H4" s="20">
        <v>44.3861</v>
      </c>
      <c r="I4" s="22" t="s">
        <v>40</v>
      </c>
      <c r="J4" s="18">
        <f>39.7688+4.068</f>
        <v>43.8368</v>
      </c>
      <c r="K4" s="18">
        <f>J4+8.3839</f>
        <v>52.2207</v>
      </c>
    </row>
    <row r="5" s="2" customFormat="1" ht="64.5" customHeight="1" spans="1:11">
      <c r="A5" s="13" t="s">
        <v>73</v>
      </c>
      <c r="B5" s="14"/>
      <c r="C5" s="15"/>
      <c r="D5" s="16">
        <f>SUM(D4)</f>
        <v>0.72</v>
      </c>
      <c r="E5" s="16"/>
      <c r="F5" s="16"/>
      <c r="G5" s="16">
        <f t="shared" ref="E5:K5" si="0">SUM(G4)</f>
        <v>46.8447</v>
      </c>
      <c r="H5" s="16">
        <f t="shared" si="0"/>
        <v>44.3861</v>
      </c>
      <c r="I5" s="16"/>
      <c r="J5" s="16">
        <f t="shared" si="0"/>
        <v>43.8368</v>
      </c>
      <c r="K5" s="16">
        <f t="shared" si="0"/>
        <v>52.2207</v>
      </c>
    </row>
    <row r="6" ht="33" customHeight="1"/>
    <row r="7" ht="13.5" customHeight="1"/>
    <row r="8" ht="13.5" customHeight="1"/>
    <row r="9" ht="13.5" customHeight="1"/>
    <row r="10" ht="13.5" customHeight="1"/>
    <row r="11"/>
    <row r="12"/>
    <row r="13"/>
    <row r="14"/>
    <row r="15"/>
    <row r="16"/>
    <row r="17"/>
    <row r="18"/>
    <row r="19"/>
    <row r="23"/>
    <row r="24"/>
    <row r="25"/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4" sqref="I4:I6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63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4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54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1" customFormat="1" ht="54" customHeight="1" spans="1:11">
      <c r="A4" s="8">
        <v>1</v>
      </c>
      <c r="B4" s="10" t="s">
        <v>56</v>
      </c>
      <c r="C4" s="10" t="s">
        <v>57</v>
      </c>
      <c r="D4" s="11">
        <v>3.72</v>
      </c>
      <c r="E4" s="10">
        <v>5.5</v>
      </c>
      <c r="F4" s="10">
        <v>4.5</v>
      </c>
      <c r="G4" s="19">
        <v>254.3782</v>
      </c>
      <c r="H4" s="20">
        <v>244.7041</v>
      </c>
      <c r="I4" s="21" t="s">
        <v>74</v>
      </c>
      <c r="J4" s="18">
        <f>234.3225+1.4772</f>
        <v>235.7997</v>
      </c>
      <c r="K4" s="18">
        <f>J4+13.3312</f>
        <v>249.1309</v>
      </c>
    </row>
    <row r="5" s="1" customFormat="1" ht="54" customHeight="1" spans="1:11">
      <c r="A5" s="8">
        <v>2</v>
      </c>
      <c r="B5" s="10" t="s">
        <v>56</v>
      </c>
      <c r="C5" s="10" t="s">
        <v>59</v>
      </c>
      <c r="D5" s="11">
        <v>0.4</v>
      </c>
      <c r="E5" s="10">
        <v>4.5</v>
      </c>
      <c r="F5" s="10">
        <v>3.5</v>
      </c>
      <c r="G5" s="19">
        <v>26.8549</v>
      </c>
      <c r="H5" s="20">
        <v>25.0477</v>
      </c>
      <c r="I5" s="22"/>
      <c r="J5" s="18">
        <f>23.1345</f>
        <v>23.1345</v>
      </c>
      <c r="K5" s="18">
        <f>J5-1.9672</f>
        <v>21.1673</v>
      </c>
    </row>
    <row r="6" s="1" customFormat="1" ht="54" customHeight="1" spans="1:11">
      <c r="A6" s="8">
        <v>3</v>
      </c>
      <c r="B6" s="10" t="s">
        <v>56</v>
      </c>
      <c r="C6" s="10" t="s">
        <v>60</v>
      </c>
      <c r="D6" s="11">
        <v>0.7</v>
      </c>
      <c r="E6" s="10">
        <v>5.5</v>
      </c>
      <c r="F6" s="10">
        <v>4.5</v>
      </c>
      <c r="G6" s="19">
        <v>53.9586</v>
      </c>
      <c r="H6" s="20">
        <v>51.3806</v>
      </c>
      <c r="I6" s="23"/>
      <c r="J6" s="18">
        <f>46.8059+3.729</f>
        <v>50.5349</v>
      </c>
      <c r="K6" s="18">
        <f>J6+3.0277</f>
        <v>53.5626</v>
      </c>
    </row>
    <row r="7" s="2" customFormat="1" ht="54" customHeight="1" spans="1:11">
      <c r="A7" s="13" t="s">
        <v>73</v>
      </c>
      <c r="B7" s="14"/>
      <c r="C7" s="15"/>
      <c r="D7" s="16">
        <f>SUM(D4:D6)</f>
        <v>4.82</v>
      </c>
      <c r="E7" s="16"/>
      <c r="F7" s="16"/>
      <c r="G7" s="16">
        <f t="shared" ref="E7:K7" si="0">SUM(G4:G6)</f>
        <v>335.1917</v>
      </c>
      <c r="H7" s="16">
        <f t="shared" si="0"/>
        <v>321.1324</v>
      </c>
      <c r="I7" s="16"/>
      <c r="J7" s="16">
        <f>SUM(J4:J6)</f>
        <v>309.4691</v>
      </c>
      <c r="K7" s="16">
        <f>SUM(K4:K6)</f>
        <v>323.8608</v>
      </c>
    </row>
    <row r="8" ht="33" customHeight="1"/>
    <row r="9" ht="13.5" customHeight="1"/>
    <row r="10" ht="13.5" customHeight="1"/>
    <row r="11" ht="13.5" customHeight="1"/>
    <row r="12" ht="13.5" customHeight="1"/>
    <row r="13"/>
    <row r="14"/>
    <row r="15"/>
    <row r="16"/>
    <row r="17"/>
    <row r="18"/>
    <row r="19"/>
    <row r="20"/>
    <row r="21"/>
    <row r="25"/>
    <row r="26"/>
    <row r="27"/>
  </sheetData>
  <mergeCells count="12">
    <mergeCell ref="A1:K1"/>
    <mergeCell ref="D2:F2"/>
    <mergeCell ref="A7:B7"/>
    <mergeCell ref="A2:A3"/>
    <mergeCell ref="B2:B3"/>
    <mergeCell ref="C2:C3"/>
    <mergeCell ref="G2:G3"/>
    <mergeCell ref="H2:H3"/>
    <mergeCell ref="I2:I3"/>
    <mergeCell ref="I4:I6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I4" sqref="I4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60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.2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49.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1" customFormat="1" ht="68.25" customHeight="1" spans="1:11">
      <c r="A4" s="8">
        <v>1</v>
      </c>
      <c r="B4" s="10" t="s">
        <v>61</v>
      </c>
      <c r="C4" s="10" t="s">
        <v>62</v>
      </c>
      <c r="D4" s="11">
        <v>0.7</v>
      </c>
      <c r="E4" s="10">
        <v>5.5</v>
      </c>
      <c r="F4" s="10">
        <v>4.5</v>
      </c>
      <c r="G4" s="19">
        <v>64.6202</v>
      </c>
      <c r="H4" s="12">
        <v>61.7604</v>
      </c>
      <c r="I4" s="17" t="s">
        <v>74</v>
      </c>
      <c r="J4" s="18">
        <f>59.4369+1.5621</f>
        <v>60.999</v>
      </c>
      <c r="K4" s="18">
        <f>J4-1.5018</f>
        <v>59.4972</v>
      </c>
    </row>
    <row r="5" s="2" customFormat="1" ht="49.5" customHeight="1" spans="1:11">
      <c r="A5" s="13" t="s">
        <v>73</v>
      </c>
      <c r="B5" s="14"/>
      <c r="C5" s="15"/>
      <c r="D5" s="16">
        <f>SUM(D4)</f>
        <v>0.7</v>
      </c>
      <c r="E5" s="16"/>
      <c r="F5" s="16"/>
      <c r="G5" s="16">
        <f t="shared" ref="E5:K5" si="0">SUM(G4)</f>
        <v>64.6202</v>
      </c>
      <c r="H5" s="16">
        <f t="shared" si="0"/>
        <v>61.7604</v>
      </c>
      <c r="I5" s="16"/>
      <c r="J5" s="16">
        <f t="shared" si="0"/>
        <v>60.999</v>
      </c>
      <c r="K5" s="16">
        <f t="shared" si="0"/>
        <v>59.4972</v>
      </c>
    </row>
    <row r="6" ht="33" customHeight="1"/>
    <row r="7" ht="13.5" customHeight="1"/>
    <row r="8" ht="13.5" customHeight="1"/>
    <row r="9" ht="13.5" customHeight="1"/>
    <row r="10" ht="13.5" customHeight="1"/>
    <row r="11"/>
    <row r="12"/>
    <row r="13"/>
    <row r="14"/>
    <row r="15"/>
    <row r="16"/>
    <row r="17"/>
    <row r="18"/>
    <row r="19"/>
    <row r="23"/>
    <row r="24"/>
    <row r="25"/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5" sqref="H5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60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4.7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62.2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1" customFormat="1" ht="61.5" customHeight="1" spans="1:11">
      <c r="A4" s="8">
        <v>1</v>
      </c>
      <c r="B4" s="9" t="s">
        <v>63</v>
      </c>
      <c r="C4" s="10" t="s">
        <v>64</v>
      </c>
      <c r="D4" s="11">
        <v>1.72</v>
      </c>
      <c r="E4" s="10">
        <v>5.5</v>
      </c>
      <c r="F4" s="10">
        <v>4.5</v>
      </c>
      <c r="G4" s="12">
        <v>137.9053</v>
      </c>
      <c r="H4" s="12">
        <v>132.7345</v>
      </c>
      <c r="I4" s="17" t="s">
        <v>74</v>
      </c>
      <c r="J4" s="18">
        <f>123.7923+7.4711</f>
        <v>131.2634</v>
      </c>
      <c r="K4" s="18">
        <f>J4+9.5289</f>
        <v>140.7923</v>
      </c>
    </row>
    <row r="5" s="2" customFormat="1" ht="61.5" customHeight="1" spans="1:11">
      <c r="A5" s="13" t="s">
        <v>73</v>
      </c>
      <c r="B5" s="14"/>
      <c r="C5" s="15"/>
      <c r="D5" s="16">
        <f>SUM(D4)</f>
        <v>1.72</v>
      </c>
      <c r="E5" s="16"/>
      <c r="F5" s="16"/>
      <c r="G5" s="16">
        <f t="shared" ref="E5:K5" si="0">SUM(G4)</f>
        <v>137.9053</v>
      </c>
      <c r="H5" s="16">
        <f t="shared" si="0"/>
        <v>132.7345</v>
      </c>
      <c r="I5" s="16"/>
      <c r="J5" s="16">
        <f t="shared" si="0"/>
        <v>131.2634</v>
      </c>
      <c r="K5" s="16">
        <f t="shared" si="0"/>
        <v>140.7923</v>
      </c>
    </row>
    <row r="6" ht="33" customHeight="1"/>
    <row r="7" ht="13.5" customHeight="1"/>
    <row r="8" ht="13.5" customHeight="1"/>
    <row r="9" ht="13.5" customHeight="1"/>
    <row r="10" ht="13.5" customHeight="1"/>
    <row r="11"/>
    <row r="12"/>
    <row r="13"/>
    <row r="14"/>
    <row r="15"/>
    <row r="16"/>
    <row r="17"/>
    <row r="18"/>
    <row r="19"/>
    <row r="23"/>
    <row r="24"/>
    <row r="25"/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2" sqref="N2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70.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43" customFormat="1" ht="48" customHeight="1" spans="1:11">
      <c r="A2" s="45" t="s">
        <v>1</v>
      </c>
      <c r="B2" s="46" t="s">
        <v>2</v>
      </c>
      <c r="C2" s="45" t="s">
        <v>3</v>
      </c>
      <c r="D2" s="45" t="s">
        <v>4</v>
      </c>
      <c r="E2" s="45"/>
      <c r="F2" s="45"/>
      <c r="G2" s="45" t="s">
        <v>5</v>
      </c>
      <c r="H2" s="46" t="s">
        <v>6</v>
      </c>
      <c r="I2" s="46" t="s">
        <v>7</v>
      </c>
      <c r="J2" s="46" t="s">
        <v>8</v>
      </c>
      <c r="K2" s="46" t="s">
        <v>9</v>
      </c>
    </row>
    <row r="3" s="43" customFormat="1" ht="67.5" customHeight="1" spans="1:11">
      <c r="A3" s="45"/>
      <c r="B3" s="47"/>
      <c r="C3" s="45"/>
      <c r="D3" s="45" t="s">
        <v>10</v>
      </c>
      <c r="E3" s="45" t="s">
        <v>11</v>
      </c>
      <c r="F3" s="45" t="s">
        <v>12</v>
      </c>
      <c r="G3" s="45"/>
      <c r="H3" s="47"/>
      <c r="I3" s="47"/>
      <c r="J3" s="47"/>
      <c r="K3" s="47"/>
    </row>
    <row r="4" s="43" customFormat="1" ht="48" customHeight="1" spans="1:11">
      <c r="A4" s="48">
        <v>1</v>
      </c>
      <c r="B4" s="49" t="s">
        <v>14</v>
      </c>
      <c r="C4" s="49" t="s">
        <v>15</v>
      </c>
      <c r="D4" s="68">
        <v>5</v>
      </c>
      <c r="E4" s="49">
        <v>5.5</v>
      </c>
      <c r="F4" s="49">
        <v>4.5</v>
      </c>
      <c r="G4" s="69">
        <v>345.7391</v>
      </c>
      <c r="H4" s="69">
        <v>332.6927</v>
      </c>
      <c r="I4" s="70" t="s">
        <v>16</v>
      </c>
      <c r="J4" s="57">
        <f>317.1884+11.8014</f>
        <v>328.9898</v>
      </c>
      <c r="K4" s="57">
        <f>J4+9.627</f>
        <v>338.6168</v>
      </c>
    </row>
    <row r="5" s="43" customFormat="1" ht="48" customHeight="1" spans="1:11">
      <c r="A5" s="48">
        <v>2</v>
      </c>
      <c r="B5" s="49" t="s">
        <v>14</v>
      </c>
      <c r="C5" s="49" t="s">
        <v>17</v>
      </c>
      <c r="D5" s="68">
        <v>2.3</v>
      </c>
      <c r="E5" s="49">
        <v>5.5</v>
      </c>
      <c r="F5" s="49">
        <v>4.5</v>
      </c>
      <c r="G5" s="69">
        <v>181.3713</v>
      </c>
      <c r="H5" s="69">
        <v>174.7559</v>
      </c>
      <c r="I5" s="56"/>
      <c r="J5" s="57">
        <f>157.4042+15.4</f>
        <v>172.8042</v>
      </c>
      <c r="K5" s="57">
        <f>J5+7.2226</f>
        <v>180.0268</v>
      </c>
    </row>
    <row r="6" s="43" customFormat="1" ht="48" customHeight="1" spans="1:11">
      <c r="A6" s="48">
        <v>3</v>
      </c>
      <c r="B6" s="49" t="s">
        <v>14</v>
      </c>
      <c r="C6" s="49" t="s">
        <v>18</v>
      </c>
      <c r="D6" s="68">
        <v>1</v>
      </c>
      <c r="E6" s="49">
        <v>5.5</v>
      </c>
      <c r="F6" s="49">
        <v>4.5</v>
      </c>
      <c r="G6" s="69">
        <v>61.4711</v>
      </c>
      <c r="H6" s="69">
        <v>59.1159</v>
      </c>
      <c r="I6" s="56"/>
      <c r="J6" s="57">
        <f>58.2215+0.2055</f>
        <v>58.427</v>
      </c>
      <c r="K6" s="57">
        <f>J6+10.17</f>
        <v>68.597</v>
      </c>
    </row>
    <row r="7" s="43" customFormat="1" ht="48" customHeight="1" spans="1:11">
      <c r="A7" s="48">
        <v>4</v>
      </c>
      <c r="B7" s="49" t="s">
        <v>14</v>
      </c>
      <c r="C7" s="70" t="s">
        <v>19</v>
      </c>
      <c r="D7" s="71">
        <v>1.3</v>
      </c>
      <c r="E7" s="70">
        <v>4.5</v>
      </c>
      <c r="F7" s="70">
        <v>3.5</v>
      </c>
      <c r="G7" s="72">
        <v>69.7517</v>
      </c>
      <c r="H7" s="72">
        <v>67.042</v>
      </c>
      <c r="I7" s="56"/>
      <c r="J7" s="76">
        <f>66.1185+0.2055</f>
        <v>66.324</v>
      </c>
      <c r="K7" s="76">
        <f>J7+24.4109</f>
        <v>90.7349</v>
      </c>
    </row>
    <row r="8" s="44" customFormat="1" ht="48" customHeight="1" spans="1:11">
      <c r="A8" s="73" t="s">
        <v>73</v>
      </c>
      <c r="B8" s="73"/>
      <c r="C8" s="74"/>
      <c r="D8" s="75">
        <f>SUM(D4:D7)</f>
        <v>9.6</v>
      </c>
      <c r="E8" s="75"/>
      <c r="F8" s="75"/>
      <c r="G8" s="75">
        <f t="shared" ref="E8:K8" si="0">SUM(G4:G7)</f>
        <v>658.3332</v>
      </c>
      <c r="H8" s="75">
        <f t="shared" si="0"/>
        <v>633.6065</v>
      </c>
      <c r="I8" s="75"/>
      <c r="J8" s="75">
        <f t="shared" si="0"/>
        <v>626.545</v>
      </c>
      <c r="K8" s="75">
        <f t="shared" si="0"/>
        <v>677.9755</v>
      </c>
    </row>
    <row r="9" ht="13.5" customHeight="1"/>
    <row r="10" ht="13.5" customHeight="1"/>
    <row r="11" ht="13.5" customHeight="1"/>
    <row r="12" ht="13.5" customHeight="1"/>
    <row r="13"/>
    <row r="14"/>
    <row r="15"/>
    <row r="16"/>
    <row r="17"/>
    <row r="18"/>
    <row r="19"/>
    <row r="20"/>
    <row r="21"/>
    <row r="25"/>
    <row r="26"/>
    <row r="27"/>
  </sheetData>
  <mergeCells count="12">
    <mergeCell ref="A1:K1"/>
    <mergeCell ref="D2:F2"/>
    <mergeCell ref="A8:B8"/>
    <mergeCell ref="A2:A3"/>
    <mergeCell ref="B2:B3"/>
    <mergeCell ref="C2:C3"/>
    <mergeCell ref="G2:G3"/>
    <mergeCell ref="H2:H3"/>
    <mergeCell ref="I2:I3"/>
    <mergeCell ref="I4:I7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4" sqref="I4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57.7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1.7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67.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5" customFormat="1" ht="67.5" customHeight="1" spans="1:11">
      <c r="A4" s="27">
        <v>1</v>
      </c>
      <c r="B4" s="28" t="s">
        <v>20</v>
      </c>
      <c r="C4" s="29" t="s">
        <v>21</v>
      </c>
      <c r="D4" s="59">
        <v>3.4</v>
      </c>
      <c r="E4" s="29">
        <v>5.5</v>
      </c>
      <c r="F4" s="29">
        <v>4.5</v>
      </c>
      <c r="G4" s="31">
        <v>223.1113</v>
      </c>
      <c r="H4" s="31">
        <v>214.7753</v>
      </c>
      <c r="I4" s="39" t="s">
        <v>16</v>
      </c>
      <c r="J4" s="40">
        <f>212.1356+0.2055</f>
        <v>212.3411</v>
      </c>
      <c r="K4" s="40">
        <f>J4-3.4547</f>
        <v>208.8864</v>
      </c>
    </row>
    <row r="5" s="65" customFormat="1" ht="33" customHeight="1" spans="1:11">
      <c r="A5" s="66" t="s">
        <v>73</v>
      </c>
      <c r="B5" s="66"/>
      <c r="C5" s="66"/>
      <c r="D5" s="67">
        <f>SUM(D4:D4)</f>
        <v>3.4</v>
      </c>
      <c r="E5" s="67">
        <f>SUM(E4:E4)</f>
        <v>5.5</v>
      </c>
      <c r="F5" s="67"/>
      <c r="G5" s="67">
        <f>SUM(G4:G4)</f>
        <v>223.1113</v>
      </c>
      <c r="H5" s="67">
        <f>SUM(H4:H4)</f>
        <v>214.7753</v>
      </c>
      <c r="I5" s="67">
        <f>SUM(I4:I4)</f>
        <v>0</v>
      </c>
      <c r="J5" s="67">
        <f>SUM(J4:J4)</f>
        <v>212.3411</v>
      </c>
      <c r="K5" s="67">
        <f>SUM(K4:K4)</f>
        <v>208.8864</v>
      </c>
    </row>
    <row r="6" ht="13.5" customHeight="1"/>
    <row r="7" ht="13.5" customHeight="1"/>
    <row r="8" ht="13.5" customHeight="1"/>
    <row r="9" ht="13.5" customHeight="1"/>
    <row r="10"/>
    <row r="11"/>
    <row r="12"/>
    <row r="13"/>
    <row r="14"/>
    <row r="15"/>
    <row r="16"/>
    <row r="17"/>
    <row r="18"/>
    <row r="22"/>
    <row r="23"/>
    <row r="24"/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7" sqref="I7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49.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8.7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4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5" customFormat="1" ht="51" customHeight="1" spans="1:11">
      <c r="A4" s="27">
        <v>1</v>
      </c>
      <c r="B4" s="28" t="s">
        <v>23</v>
      </c>
      <c r="C4" s="29" t="s">
        <v>24</v>
      </c>
      <c r="D4" s="30">
        <v>0.715</v>
      </c>
      <c r="E4" s="29">
        <v>5.5</v>
      </c>
      <c r="F4" s="29">
        <v>4.5</v>
      </c>
      <c r="G4" s="32">
        <v>63.3597</v>
      </c>
      <c r="H4" s="31">
        <v>60.0138</v>
      </c>
      <c r="I4" s="64" t="s">
        <v>16</v>
      </c>
      <c r="J4" s="40">
        <f>56.9235+2.4446</f>
        <v>59.3681</v>
      </c>
      <c r="K4" s="40">
        <f>J4+2.4769</f>
        <v>61.845</v>
      </c>
    </row>
    <row r="5" s="25" customFormat="1" ht="51" customHeight="1" spans="1:11">
      <c r="A5" s="27">
        <v>2</v>
      </c>
      <c r="B5" s="29" t="s">
        <v>23</v>
      </c>
      <c r="C5" s="29" t="s">
        <v>39</v>
      </c>
      <c r="D5" s="59">
        <v>1.8</v>
      </c>
      <c r="E5" s="29">
        <v>5.5</v>
      </c>
      <c r="F5" s="29">
        <v>4.5</v>
      </c>
      <c r="G5" s="31">
        <v>144.2348</v>
      </c>
      <c r="H5" s="31">
        <v>139.0076</v>
      </c>
      <c r="I5" s="29" t="s">
        <v>40</v>
      </c>
      <c r="J5" s="40">
        <f>135.3189+2.2394</f>
        <v>137.5583</v>
      </c>
      <c r="K5" s="40">
        <f>J5-10.0602</f>
        <v>127.4981</v>
      </c>
    </row>
    <row r="6" s="25" customFormat="1" ht="51" customHeight="1" spans="1:11">
      <c r="A6" s="27">
        <v>3</v>
      </c>
      <c r="B6" s="29" t="s">
        <v>23</v>
      </c>
      <c r="C6" s="29" t="s">
        <v>41</v>
      </c>
      <c r="D6" s="34">
        <v>0.2</v>
      </c>
      <c r="E6" s="29">
        <v>4.5</v>
      </c>
      <c r="F6" s="29">
        <v>3.5</v>
      </c>
      <c r="G6" s="31">
        <v>10.8738</v>
      </c>
      <c r="H6" s="31">
        <v>10.4557</v>
      </c>
      <c r="I6" s="29"/>
      <c r="J6" s="40">
        <f>9.2731+1.0168</f>
        <v>10.2899</v>
      </c>
      <c r="K6" s="40">
        <f>J6+0.8202</f>
        <v>11.1101</v>
      </c>
    </row>
    <row r="7" s="25" customFormat="1" ht="51" customHeight="1" spans="1:11">
      <c r="A7" s="27">
        <v>4</v>
      </c>
      <c r="B7" s="29" t="s">
        <v>23</v>
      </c>
      <c r="C7" s="29" t="s">
        <v>70</v>
      </c>
      <c r="D7" s="35">
        <v>2.1</v>
      </c>
      <c r="E7" s="29">
        <v>5.5</v>
      </c>
      <c r="F7" s="29">
        <v>4.5</v>
      </c>
      <c r="G7" s="32">
        <v>161.8138</v>
      </c>
      <c r="H7" s="33">
        <v>155.3198</v>
      </c>
      <c r="I7" s="64" t="s">
        <v>74</v>
      </c>
      <c r="J7" s="40">
        <f>150.8421+2.6146</f>
        <v>153.4567</v>
      </c>
      <c r="K7" s="40">
        <f>J7+8.1398</f>
        <v>161.5965</v>
      </c>
    </row>
    <row r="8" s="26" customFormat="1" ht="51" customHeight="1" spans="1:11">
      <c r="A8" s="36" t="s">
        <v>73</v>
      </c>
      <c r="B8" s="37"/>
      <c r="C8" s="5"/>
      <c r="D8" s="38"/>
      <c r="E8" s="5"/>
      <c r="F8" s="5"/>
      <c r="G8" s="63">
        <f>SUM(G4:G7)</f>
        <v>380.2821</v>
      </c>
      <c r="H8" s="63">
        <f t="shared" ref="H8:K8" si="0">SUM(H4:H7)</f>
        <v>364.7969</v>
      </c>
      <c r="I8" s="63"/>
      <c r="J8" s="63">
        <f t="shared" si="0"/>
        <v>360.673</v>
      </c>
      <c r="K8" s="63">
        <f t="shared" si="0"/>
        <v>362.0497</v>
      </c>
    </row>
    <row r="9" ht="33" customHeight="1"/>
    <row r="10" ht="13.5" customHeight="1"/>
    <row r="11" ht="13.5" customHeight="1"/>
    <row r="12" ht="13.5" customHeight="1"/>
    <row r="13" ht="13.5" customHeight="1"/>
    <row r="14"/>
    <row r="15"/>
    <row r="16"/>
    <row r="17"/>
    <row r="18"/>
    <row r="19"/>
    <row r="20"/>
    <row r="21"/>
    <row r="22"/>
    <row r="26"/>
    <row r="27"/>
    <row r="28"/>
  </sheetData>
  <mergeCells count="12">
    <mergeCell ref="A1:K1"/>
    <mergeCell ref="D2:F2"/>
    <mergeCell ref="A8:B8"/>
    <mergeCell ref="A2:A3"/>
    <mergeCell ref="B2:B3"/>
    <mergeCell ref="C2:C3"/>
    <mergeCell ref="G2:G3"/>
    <mergeCell ref="H2:H3"/>
    <mergeCell ref="I2:I3"/>
    <mergeCell ref="I5:I6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O5" sqref="O5"/>
    </sheetView>
  </sheetViews>
  <sheetFormatPr defaultColWidth="9" defaultRowHeight="13.5" outlineLevelRow="4"/>
  <cols>
    <col min="1" max="1" width="4.125" customWidth="1"/>
    <col min="3" max="3" width="13.875" customWidth="1"/>
    <col min="4" max="4" width="10.375" customWidth="1"/>
    <col min="6" max="6" width="10.375" customWidth="1"/>
    <col min="7" max="7" width="14" customWidth="1"/>
    <col min="8" max="8" width="14.125" customWidth="1"/>
    <col min="9" max="9" width="17.875" customWidth="1"/>
    <col min="10" max="10" width="13.875" customWidth="1"/>
    <col min="11" max="11" width="12" customWidth="1"/>
  </cols>
  <sheetData>
    <row r="1" ht="62.25" customHeight="1" spans="1:11">
      <c r="A1" s="62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="61" customFormat="1" ht="56.25" customHeight="1" spans="1:11">
      <c r="A2" s="45" t="s">
        <v>1</v>
      </c>
      <c r="B2" s="46" t="s">
        <v>2</v>
      </c>
      <c r="C2" s="45" t="s">
        <v>3</v>
      </c>
      <c r="D2" s="45" t="s">
        <v>4</v>
      </c>
      <c r="E2" s="45"/>
      <c r="F2" s="45"/>
      <c r="G2" s="45" t="s">
        <v>5</v>
      </c>
      <c r="H2" s="46" t="s">
        <v>6</v>
      </c>
      <c r="I2" s="46" t="s">
        <v>7</v>
      </c>
      <c r="J2" s="46" t="s">
        <v>8</v>
      </c>
      <c r="K2" s="46" t="s">
        <v>9</v>
      </c>
    </row>
    <row r="3" s="61" customFormat="1" ht="69" customHeight="1" spans="1:11">
      <c r="A3" s="45"/>
      <c r="B3" s="47"/>
      <c r="C3" s="45"/>
      <c r="D3" s="45" t="s">
        <v>10</v>
      </c>
      <c r="E3" s="45" t="s">
        <v>11</v>
      </c>
      <c r="F3" s="45" t="s">
        <v>12</v>
      </c>
      <c r="G3" s="45"/>
      <c r="H3" s="47"/>
      <c r="I3" s="47"/>
      <c r="J3" s="47"/>
      <c r="K3" s="47"/>
    </row>
    <row r="4" s="61" customFormat="1" ht="65.25" customHeight="1" spans="1:11">
      <c r="A4" s="48">
        <v>1</v>
      </c>
      <c r="B4" s="49" t="s">
        <v>25</v>
      </c>
      <c r="C4" s="49" t="s">
        <v>27</v>
      </c>
      <c r="D4" s="50">
        <v>0.35</v>
      </c>
      <c r="E4" s="49">
        <v>5.5</v>
      </c>
      <c r="F4" s="49">
        <v>4.5</v>
      </c>
      <c r="G4" s="51">
        <v>29.8394</v>
      </c>
      <c r="H4" s="52">
        <v>27.9704</v>
      </c>
      <c r="I4" s="56" t="s">
        <v>16</v>
      </c>
      <c r="J4" s="57">
        <v>27.6921</v>
      </c>
      <c r="K4" s="57">
        <f>J4+3.2443</f>
        <v>30.9364</v>
      </c>
    </row>
    <row r="5" s="61" customFormat="1" ht="73.5" customHeight="1" spans="1:11">
      <c r="A5" s="53" t="s">
        <v>73</v>
      </c>
      <c r="B5" s="54"/>
      <c r="C5" s="45"/>
      <c r="D5" s="55">
        <f>SUM(D4:D4)</f>
        <v>0.35</v>
      </c>
      <c r="E5" s="55"/>
      <c r="F5" s="55"/>
      <c r="G5" s="55">
        <f>SUM(G4:G4)</f>
        <v>29.8394</v>
      </c>
      <c r="H5" s="55">
        <f>SUM(H4:H4)</f>
        <v>27.9704</v>
      </c>
      <c r="I5" s="55"/>
      <c r="J5" s="55">
        <f>SUM(J4:J4)</f>
        <v>27.6921</v>
      </c>
      <c r="K5" s="55">
        <f>SUM(K4:K4)</f>
        <v>30.9364</v>
      </c>
    </row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Q7" sqref="Q7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61.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3.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54.7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5" customFormat="1" ht="32.25" customHeight="1" spans="1:11">
      <c r="A4" s="27">
        <v>1</v>
      </c>
      <c r="B4" s="28" t="s">
        <v>29</v>
      </c>
      <c r="C4" s="29" t="s">
        <v>30</v>
      </c>
      <c r="D4" s="59">
        <v>2.8</v>
      </c>
      <c r="E4" s="29">
        <v>5.5</v>
      </c>
      <c r="F4" s="29">
        <v>4.5</v>
      </c>
      <c r="G4" s="31">
        <v>201.0334</v>
      </c>
      <c r="H4" s="31">
        <v>193.5462</v>
      </c>
      <c r="I4" s="41" t="s">
        <v>31</v>
      </c>
      <c r="J4" s="40">
        <f>190.9906+0.2055</f>
        <v>191.1961</v>
      </c>
      <c r="K4" s="40">
        <f>J4+1.0239</f>
        <v>192.22</v>
      </c>
    </row>
    <row r="5" s="25" customFormat="1" ht="32.25" customHeight="1" spans="1:11">
      <c r="A5" s="27">
        <v>2</v>
      </c>
      <c r="B5" s="28" t="s">
        <v>29</v>
      </c>
      <c r="C5" s="29" t="s">
        <v>32</v>
      </c>
      <c r="D5" s="34">
        <v>4</v>
      </c>
      <c r="E5" s="29">
        <v>5.5</v>
      </c>
      <c r="F5" s="29">
        <v>4.5</v>
      </c>
      <c r="G5" s="31">
        <v>372.7561</v>
      </c>
      <c r="H5" s="31">
        <v>359.4561</v>
      </c>
      <c r="I5" s="39"/>
      <c r="J5" s="60">
        <f>328.957+26.449</f>
        <v>355.406</v>
      </c>
      <c r="K5" s="60">
        <f>J5-14.2684</f>
        <v>341.1376</v>
      </c>
    </row>
    <row r="6" s="25" customFormat="1" ht="32.25" customHeight="1" spans="1:11">
      <c r="A6" s="27">
        <v>3</v>
      </c>
      <c r="B6" s="28" t="s">
        <v>29</v>
      </c>
      <c r="C6" s="29" t="s">
        <v>33</v>
      </c>
      <c r="D6" s="34">
        <v>2</v>
      </c>
      <c r="E6" s="29">
        <v>5.5</v>
      </c>
      <c r="F6" s="29">
        <v>4.5</v>
      </c>
      <c r="G6" s="31">
        <v>157.4582</v>
      </c>
      <c r="H6" s="31">
        <v>151.6358</v>
      </c>
      <c r="I6" s="39"/>
      <c r="J6" s="40">
        <f>144.9608+4.9526</f>
        <v>149.9134</v>
      </c>
      <c r="K6" s="40">
        <f>J6+6.0734</f>
        <v>155.9868</v>
      </c>
    </row>
    <row r="7" s="25" customFormat="1" ht="32.25" customHeight="1" spans="1:11">
      <c r="A7" s="27">
        <v>4</v>
      </c>
      <c r="B7" s="28" t="s">
        <v>29</v>
      </c>
      <c r="C7" s="29" t="s">
        <v>34</v>
      </c>
      <c r="D7" s="59">
        <v>2.4</v>
      </c>
      <c r="E7" s="29">
        <v>5.5</v>
      </c>
      <c r="F7" s="29">
        <v>4.5</v>
      </c>
      <c r="G7" s="31">
        <v>162.9571</v>
      </c>
      <c r="H7" s="31">
        <v>157.0064</v>
      </c>
      <c r="I7" s="39"/>
      <c r="J7" s="40">
        <f>145.3753+9.9039</f>
        <v>155.2792</v>
      </c>
      <c r="K7" s="40">
        <f>J7+14.6624</f>
        <v>169.9416</v>
      </c>
    </row>
    <row r="8" s="25" customFormat="1" ht="32.25" customHeight="1" spans="1:11">
      <c r="A8" s="27">
        <v>5</v>
      </c>
      <c r="B8" s="29" t="s">
        <v>29</v>
      </c>
      <c r="C8" s="29" t="s">
        <v>35</v>
      </c>
      <c r="D8" s="30">
        <v>4.8</v>
      </c>
      <c r="E8" s="29">
        <v>4.5</v>
      </c>
      <c r="F8" s="29">
        <v>3.5</v>
      </c>
      <c r="G8" s="31">
        <v>302.8106</v>
      </c>
      <c r="H8" s="33">
        <v>290.9108</v>
      </c>
      <c r="I8" s="42"/>
      <c r="J8" s="40">
        <f>278.8996+9.6479</f>
        <v>288.5475</v>
      </c>
      <c r="K8" s="40">
        <f>J8+1.5098</f>
        <v>290.0573</v>
      </c>
    </row>
    <row r="9" s="26" customFormat="1" ht="32.25" customHeight="1" spans="1:11">
      <c r="A9" s="36" t="s">
        <v>73</v>
      </c>
      <c r="B9" s="37"/>
      <c r="C9" s="5"/>
      <c r="D9" s="38">
        <f>SUM(D4:D8)</f>
        <v>16</v>
      </c>
      <c r="E9" s="38"/>
      <c r="F9" s="38"/>
      <c r="G9" s="38">
        <f t="shared" ref="E9:K9" si="0">SUM(G4:G8)</f>
        <v>1197.0154</v>
      </c>
      <c r="H9" s="38">
        <f t="shared" si="0"/>
        <v>1152.5553</v>
      </c>
      <c r="I9" s="38"/>
      <c r="J9" s="38">
        <f t="shared" si="0"/>
        <v>1140.3422</v>
      </c>
      <c r="K9" s="38">
        <f t="shared" si="0"/>
        <v>1149.3433</v>
      </c>
    </row>
    <row r="10" ht="33" customHeight="1"/>
    <row r="11" ht="13.5" customHeight="1"/>
    <row r="12" ht="13.5" customHeight="1"/>
    <row r="13" ht="13.5" customHeight="1"/>
    <row r="14" ht="13.5" customHeight="1"/>
    <row r="15"/>
    <row r="16"/>
    <row r="17"/>
    <row r="18"/>
    <row r="19"/>
    <row r="20"/>
    <row r="21"/>
    <row r="22"/>
    <row r="23"/>
    <row r="27"/>
    <row r="28"/>
    <row r="29"/>
  </sheetData>
  <mergeCells count="12">
    <mergeCell ref="A1:K1"/>
    <mergeCell ref="D2:F2"/>
    <mergeCell ref="A9:B9"/>
    <mergeCell ref="A2:A3"/>
    <mergeCell ref="B2:B3"/>
    <mergeCell ref="C2:C3"/>
    <mergeCell ref="G2:G3"/>
    <mergeCell ref="H2:H3"/>
    <mergeCell ref="I2:I3"/>
    <mergeCell ref="I4:I8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6" sqref="N6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63.7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61.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5" customFormat="1" ht="51.75" customHeight="1" spans="1:11">
      <c r="A4" s="27">
        <v>1</v>
      </c>
      <c r="B4" s="29" t="s">
        <v>36</v>
      </c>
      <c r="C4" s="29" t="s">
        <v>37</v>
      </c>
      <c r="D4" s="30">
        <v>1.5</v>
      </c>
      <c r="E4" s="29">
        <v>5.5</v>
      </c>
      <c r="F4" s="29">
        <v>4.5</v>
      </c>
      <c r="G4" s="32">
        <v>110.6196</v>
      </c>
      <c r="H4" s="33">
        <v>106.2886</v>
      </c>
      <c r="I4" s="29" t="s">
        <v>31</v>
      </c>
      <c r="J4" s="40">
        <f>101.3498+3.8011</f>
        <v>105.1509</v>
      </c>
      <c r="K4" s="40">
        <f>J4-2.9928</f>
        <v>102.1581</v>
      </c>
    </row>
    <row r="5" s="25" customFormat="1" ht="51.75" customHeight="1" spans="1:11">
      <c r="A5" s="27">
        <v>2</v>
      </c>
      <c r="B5" s="29" t="s">
        <v>36</v>
      </c>
      <c r="C5" s="29" t="s">
        <v>45</v>
      </c>
      <c r="D5" s="34">
        <v>3</v>
      </c>
      <c r="E5" s="29">
        <v>5.5</v>
      </c>
      <c r="F5" s="29">
        <v>4.5</v>
      </c>
      <c r="G5" s="31">
        <v>237.6225</v>
      </c>
      <c r="H5" s="31">
        <v>228.8387</v>
      </c>
      <c r="I5" s="41" t="s">
        <v>40</v>
      </c>
      <c r="J5" s="40">
        <f>202.5482+23.8041</f>
        <v>226.3523</v>
      </c>
      <c r="K5" s="40">
        <f>J5-13.7579</f>
        <v>212.5944</v>
      </c>
    </row>
    <row r="6" s="25" customFormat="1" ht="51.75" customHeight="1" spans="1:11">
      <c r="A6" s="27">
        <v>3</v>
      </c>
      <c r="B6" s="28" t="s">
        <v>36</v>
      </c>
      <c r="C6" s="29" t="s">
        <v>46</v>
      </c>
      <c r="D6" s="30">
        <v>1.62</v>
      </c>
      <c r="E6" s="29">
        <v>5.5</v>
      </c>
      <c r="F6" s="29">
        <v>4.5</v>
      </c>
      <c r="G6" s="58">
        <v>115.4272</v>
      </c>
      <c r="H6" s="33">
        <v>110.9572</v>
      </c>
      <c r="I6" s="42"/>
      <c r="J6" s="40">
        <f>105.0584+4.5097</f>
        <v>109.5681</v>
      </c>
      <c r="K6" s="40">
        <f>J6+0.1378</f>
        <v>109.7059</v>
      </c>
    </row>
    <row r="7" s="26" customFormat="1" ht="51.75" customHeight="1" spans="1:11">
      <c r="A7" s="36" t="s">
        <v>73</v>
      </c>
      <c r="B7" s="37"/>
      <c r="C7" s="5"/>
      <c r="D7" s="38">
        <f>SUM(D4:D6)</f>
        <v>6.12</v>
      </c>
      <c r="E7" s="38"/>
      <c r="F7" s="38"/>
      <c r="G7" s="38">
        <f t="shared" ref="E7:K7" si="0">SUM(G4:G6)</f>
        <v>463.6693</v>
      </c>
      <c r="H7" s="38">
        <f t="shared" si="0"/>
        <v>446.0845</v>
      </c>
      <c r="I7" s="38"/>
      <c r="J7" s="38">
        <f t="shared" si="0"/>
        <v>441.0713</v>
      </c>
      <c r="K7" s="38">
        <f t="shared" si="0"/>
        <v>424.4584</v>
      </c>
    </row>
    <row r="8" ht="33" customHeight="1"/>
    <row r="9" ht="13.5" customHeight="1"/>
    <row r="10" ht="13.5" customHeight="1"/>
    <row r="11" ht="13.5" customHeight="1"/>
    <row r="12" ht="13.5" customHeight="1"/>
    <row r="13"/>
    <row r="14"/>
    <row r="15"/>
    <row r="16"/>
    <row r="17"/>
    <row r="18"/>
    <row r="19"/>
    <row r="20"/>
    <row r="21"/>
    <row r="25"/>
    <row r="26"/>
    <row r="27"/>
  </sheetData>
  <mergeCells count="12">
    <mergeCell ref="A1:K1"/>
    <mergeCell ref="D2:F2"/>
    <mergeCell ref="A7:B7"/>
    <mergeCell ref="A2:A3"/>
    <mergeCell ref="B2:B3"/>
    <mergeCell ref="C2:C3"/>
    <mergeCell ref="G2:G3"/>
    <mergeCell ref="H2:H3"/>
    <mergeCell ref="I2:I3"/>
    <mergeCell ref="I5:I6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P2" sqref="P2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74.25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43" customFormat="1" ht="72.75" customHeight="1" spans="1:11">
      <c r="A2" s="45" t="s">
        <v>1</v>
      </c>
      <c r="B2" s="46" t="s">
        <v>2</v>
      </c>
      <c r="C2" s="45" t="s">
        <v>3</v>
      </c>
      <c r="D2" s="45" t="s">
        <v>4</v>
      </c>
      <c r="E2" s="45"/>
      <c r="F2" s="45"/>
      <c r="G2" s="45" t="s">
        <v>5</v>
      </c>
      <c r="H2" s="46" t="s">
        <v>6</v>
      </c>
      <c r="I2" s="46" t="s">
        <v>7</v>
      </c>
      <c r="J2" s="46" t="s">
        <v>8</v>
      </c>
      <c r="K2" s="46" t="s">
        <v>9</v>
      </c>
    </row>
    <row r="3" s="43" customFormat="1" ht="72.75" customHeight="1" spans="1:11">
      <c r="A3" s="45"/>
      <c r="B3" s="47"/>
      <c r="C3" s="45"/>
      <c r="D3" s="45" t="s">
        <v>10</v>
      </c>
      <c r="E3" s="45" t="s">
        <v>11</v>
      </c>
      <c r="F3" s="45" t="s">
        <v>12</v>
      </c>
      <c r="G3" s="45"/>
      <c r="H3" s="47"/>
      <c r="I3" s="47"/>
      <c r="J3" s="47"/>
      <c r="K3" s="47"/>
    </row>
    <row r="4" s="43" customFormat="1" ht="72.75" customHeight="1" spans="1:11">
      <c r="A4" s="48">
        <v>1</v>
      </c>
      <c r="B4" s="49" t="s">
        <v>42</v>
      </c>
      <c r="C4" s="49" t="s">
        <v>44</v>
      </c>
      <c r="D4" s="50">
        <v>1.1</v>
      </c>
      <c r="E4" s="49">
        <v>5.5</v>
      </c>
      <c r="F4" s="49">
        <v>4.5</v>
      </c>
      <c r="G4" s="51">
        <v>91.9919</v>
      </c>
      <c r="H4" s="52">
        <v>88.3153</v>
      </c>
      <c r="I4" s="56" t="s">
        <v>40</v>
      </c>
      <c r="J4" s="57">
        <v>87.3383</v>
      </c>
      <c r="K4" s="57">
        <f>J4-2.7335</f>
        <v>84.6048</v>
      </c>
    </row>
    <row r="5" s="44" customFormat="1" ht="72.75" customHeight="1" spans="1:11">
      <c r="A5" s="53" t="s">
        <v>73</v>
      </c>
      <c r="B5" s="54"/>
      <c r="C5" s="45"/>
      <c r="D5" s="55">
        <f>SUM(D4)</f>
        <v>1.1</v>
      </c>
      <c r="E5" s="55"/>
      <c r="F5" s="55"/>
      <c r="G5" s="55">
        <f t="shared" ref="E5:K5" si="0">SUM(G4)</f>
        <v>91.9919</v>
      </c>
      <c r="H5" s="55">
        <f t="shared" si="0"/>
        <v>88.3153</v>
      </c>
      <c r="I5" s="55"/>
      <c r="J5" s="55">
        <f t="shared" si="0"/>
        <v>87.3383</v>
      </c>
      <c r="K5" s="55">
        <f t="shared" si="0"/>
        <v>84.6048</v>
      </c>
    </row>
    <row r="6" ht="33" customHeight="1"/>
    <row r="7" ht="13.5" customHeight="1"/>
    <row r="8" ht="13.5" customHeight="1"/>
    <row r="9" ht="13.5" customHeight="1"/>
    <row r="10" ht="13.5" customHeight="1"/>
    <row r="11"/>
    <row r="12"/>
    <row r="13"/>
    <row r="14"/>
    <row r="15"/>
    <row r="16"/>
    <row r="17"/>
    <row r="18"/>
    <row r="19"/>
    <row r="23"/>
    <row r="24"/>
    <row r="25"/>
  </sheetData>
  <mergeCells count="11">
    <mergeCell ref="A1:K1"/>
    <mergeCell ref="D2:F2"/>
    <mergeCell ref="A5:B5"/>
    <mergeCell ref="A2:A3"/>
    <mergeCell ref="B2:B3"/>
    <mergeCell ref="C2:C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P1" sqref="P1"/>
    </sheetView>
  </sheetViews>
  <sheetFormatPr defaultColWidth="9" defaultRowHeight="5.65" customHeight="1"/>
  <cols>
    <col min="1" max="1" width="7" style="3" customWidth="1"/>
    <col min="2" max="2" width="13.875" style="3" customWidth="1"/>
    <col min="3" max="3" width="16.875" style="3" customWidth="1"/>
    <col min="4" max="4" width="8.25" style="3" customWidth="1"/>
    <col min="5" max="5" width="7.625" style="3" customWidth="1"/>
    <col min="6" max="6" width="6.125" style="3" customWidth="1"/>
    <col min="7" max="7" width="12.625" style="3" customWidth="1"/>
    <col min="8" max="8" width="11.375" style="3" customWidth="1"/>
    <col min="9" max="9" width="19.5" style="3" customWidth="1"/>
    <col min="10" max="10" width="14.375" style="3" customWidth="1"/>
    <col min="11" max="11" width="13.375" style="3" customWidth="1"/>
    <col min="12" max="16384" width="9" style="3"/>
  </cols>
  <sheetData>
    <row r="1" ht="57" customHeight="1" spans="1:11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ht="35.25" customHeight="1" spans="1:11">
      <c r="A3" s="5"/>
      <c r="B3" s="7"/>
      <c r="C3" s="5"/>
      <c r="D3" s="5" t="s">
        <v>10</v>
      </c>
      <c r="E3" s="5" t="s">
        <v>11</v>
      </c>
      <c r="F3" s="5" t="s">
        <v>12</v>
      </c>
      <c r="G3" s="5"/>
      <c r="H3" s="7"/>
      <c r="I3" s="7"/>
      <c r="J3" s="7"/>
      <c r="K3" s="7"/>
    </row>
    <row r="4" s="25" customFormat="1" ht="51" customHeight="1" spans="1:11">
      <c r="A4" s="27">
        <v>1</v>
      </c>
      <c r="B4" s="28" t="s">
        <v>47</v>
      </c>
      <c r="C4" s="29" t="s">
        <v>48</v>
      </c>
      <c r="D4" s="30">
        <v>1.1</v>
      </c>
      <c r="E4" s="29">
        <v>5.5</v>
      </c>
      <c r="F4" s="29">
        <v>4.5</v>
      </c>
      <c r="G4" s="31">
        <v>97.4615</v>
      </c>
      <c r="H4" s="31">
        <v>93.6253</v>
      </c>
      <c r="I4" s="39" t="s">
        <v>40</v>
      </c>
      <c r="J4" s="40">
        <f>87.8635+4.6492</f>
        <v>92.5127</v>
      </c>
      <c r="K4" s="40">
        <f>J4+0.8364</f>
        <v>93.3491</v>
      </c>
    </row>
    <row r="5" s="25" customFormat="1" ht="51" customHeight="1" spans="1:11">
      <c r="A5" s="27">
        <v>2</v>
      </c>
      <c r="B5" s="29" t="s">
        <v>47</v>
      </c>
      <c r="C5" s="29" t="s">
        <v>49</v>
      </c>
      <c r="D5" s="30">
        <v>1.65</v>
      </c>
      <c r="E5" s="29">
        <v>5.5</v>
      </c>
      <c r="F5" s="29">
        <v>4.5</v>
      </c>
      <c r="G5" s="32">
        <v>124.5655</v>
      </c>
      <c r="H5" s="33">
        <v>119.8217</v>
      </c>
      <c r="I5" s="39"/>
      <c r="J5" s="40">
        <f>111.3173+7.0528</f>
        <v>118.3701</v>
      </c>
      <c r="K5" s="40">
        <f>J5+6.0326</f>
        <v>124.4027</v>
      </c>
    </row>
    <row r="6" s="25" customFormat="1" ht="51" customHeight="1" spans="1:11">
      <c r="A6" s="27">
        <v>3</v>
      </c>
      <c r="B6" s="29" t="s">
        <v>47</v>
      </c>
      <c r="C6" s="29" t="s">
        <v>65</v>
      </c>
      <c r="D6" s="34">
        <v>2.2</v>
      </c>
      <c r="E6" s="29">
        <v>5.5</v>
      </c>
      <c r="F6" s="29">
        <v>4.5</v>
      </c>
      <c r="G6" s="31">
        <v>205.1907</v>
      </c>
      <c r="H6" s="31">
        <v>198.0075</v>
      </c>
      <c r="I6" s="41" t="s">
        <v>74</v>
      </c>
      <c r="J6" s="40">
        <f>176.9863+18.6521</f>
        <v>195.6384</v>
      </c>
      <c r="K6" s="40">
        <f>J6-0.6423</f>
        <v>194.9961</v>
      </c>
    </row>
    <row r="7" s="25" customFormat="1" ht="51" customHeight="1" spans="1:11">
      <c r="A7" s="27">
        <v>4</v>
      </c>
      <c r="B7" s="29" t="s">
        <v>47</v>
      </c>
      <c r="C7" s="29" t="s">
        <v>66</v>
      </c>
      <c r="D7" s="30">
        <v>1.2</v>
      </c>
      <c r="E7" s="29" t="s">
        <v>67</v>
      </c>
      <c r="F7" s="29" t="s">
        <v>68</v>
      </c>
      <c r="G7" s="32">
        <v>94.0097</v>
      </c>
      <c r="H7" s="31">
        <v>90.2023</v>
      </c>
      <c r="I7" s="39"/>
      <c r="J7" s="40">
        <f>80.9648+8.2396</f>
        <v>89.2044</v>
      </c>
      <c r="K7" s="40">
        <f>J7-3.7579</f>
        <v>85.4465</v>
      </c>
    </row>
    <row r="8" s="25" customFormat="1" ht="51" customHeight="1" spans="1:11">
      <c r="A8" s="27">
        <v>5</v>
      </c>
      <c r="B8" s="29" t="s">
        <v>47</v>
      </c>
      <c r="C8" s="29" t="s">
        <v>69</v>
      </c>
      <c r="D8" s="35">
        <v>1.3</v>
      </c>
      <c r="E8" s="29">
        <v>5.5</v>
      </c>
      <c r="F8" s="29">
        <v>4.5</v>
      </c>
      <c r="G8" s="31">
        <v>104.343</v>
      </c>
      <c r="H8" s="33">
        <v>100.2488</v>
      </c>
      <c r="I8" s="42"/>
      <c r="J8" s="40">
        <f>93.9971+5.1578</f>
        <v>99.1549</v>
      </c>
      <c r="K8" s="40">
        <v>93.9971</v>
      </c>
    </row>
    <row r="9" s="26" customFormat="1" ht="51" customHeight="1" spans="1:11">
      <c r="A9" s="36" t="s">
        <v>73</v>
      </c>
      <c r="B9" s="37"/>
      <c r="C9" s="5"/>
      <c r="D9" s="38">
        <f>SUM(D4:D8)</f>
        <v>7.45</v>
      </c>
      <c r="E9" s="38"/>
      <c r="F9" s="38"/>
      <c r="G9" s="38">
        <f t="shared" ref="E9:K9" si="0">SUM(G4:G8)</f>
        <v>625.5704</v>
      </c>
      <c r="H9" s="38">
        <f t="shared" si="0"/>
        <v>601.9056</v>
      </c>
      <c r="I9" s="38"/>
      <c r="J9" s="38">
        <f t="shared" si="0"/>
        <v>594.8805</v>
      </c>
      <c r="K9" s="38">
        <f t="shared" si="0"/>
        <v>592.1915</v>
      </c>
    </row>
    <row r="10" ht="33" customHeight="1"/>
    <row r="11" ht="13.5" customHeight="1"/>
    <row r="12" ht="13.5" customHeight="1"/>
    <row r="13" ht="13.5" customHeight="1"/>
    <row r="14" ht="13.5" customHeight="1"/>
    <row r="15"/>
    <row r="16"/>
    <row r="17"/>
    <row r="18"/>
    <row r="19"/>
    <row r="20"/>
    <row r="21"/>
    <row r="22"/>
    <row r="23"/>
    <row r="27"/>
    <row r="28"/>
    <row r="29"/>
  </sheetData>
  <mergeCells count="13">
    <mergeCell ref="A1:K1"/>
    <mergeCell ref="D2:F2"/>
    <mergeCell ref="A9:B9"/>
    <mergeCell ref="A2:A3"/>
    <mergeCell ref="B2:B3"/>
    <mergeCell ref="C2:C3"/>
    <mergeCell ref="G2:G3"/>
    <mergeCell ref="H2:H3"/>
    <mergeCell ref="I2:I3"/>
    <mergeCell ref="I4:I5"/>
    <mergeCell ref="I6:I8"/>
    <mergeCell ref="J2:J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完成公示</vt:lpstr>
      <vt:lpstr>恭门镇</vt:lpstr>
      <vt:lpstr>马鹿镇</vt:lpstr>
      <vt:lpstr>胡川镇</vt:lpstr>
      <vt:lpstr>张川镇</vt:lpstr>
      <vt:lpstr>刘堡镇</vt:lpstr>
      <vt:lpstr>张棉乡</vt:lpstr>
      <vt:lpstr>川王镇</vt:lpstr>
      <vt:lpstr>大阳镇</vt:lpstr>
      <vt:lpstr>连五乡</vt:lpstr>
      <vt:lpstr>龙山镇</vt:lpstr>
      <vt:lpstr>梁山镇</vt:lpstr>
      <vt:lpstr>马关镇</vt:lpstr>
      <vt:lpstr>木河乡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向着朝阳</cp:lastModifiedBy>
  <dcterms:created xsi:type="dcterms:W3CDTF">2023-03-02T02:02:00Z</dcterms:created>
  <cp:lastPrinted>2023-10-16T03:55:00Z</cp:lastPrinted>
  <dcterms:modified xsi:type="dcterms:W3CDTF">2023-11-14T06:51:39Z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9C1DE824FFCD4135B9350559F60C7013</vt:lpwstr>
  </property>
</Properties>
</file>